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11206_privadec_zermanice_2\211206_31_002_privadec_2et\220412_cistopis\zdroje\Soupis_oceneni_VV\"/>
    </mc:Choice>
  </mc:AlternateContent>
  <xr:revisionPtr revIDLastSave="0" documentId="13_ncr:1_{3773F26C-CA3D-4CDD-906A-0A7C3E6E59E4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SO_03_Rekapitulace" sheetId="1" r:id="rId1"/>
    <sheet name="dočasný sjezd" sheetId="3" r:id="rId2"/>
    <sheet name="sjezd_11" sheetId="2" r:id="rId3"/>
  </sheets>
  <definedNames>
    <definedName name="_xlnm.Print_Titles" localSheetId="0">SO_03_Rekapitulace!$12:$12</definedName>
    <definedName name="_xlnm.Print_Area" localSheetId="0">SO_03_Rekapitulace!$A$1:$D$229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1" i="1" l="1"/>
  <c r="D142" i="1"/>
  <c r="D145" i="1"/>
  <c r="D55" i="1" l="1"/>
  <c r="D15" i="1"/>
  <c r="D85" i="1"/>
  <c r="D133" i="1"/>
  <c r="D60" i="1" l="1"/>
  <c r="D67" i="1"/>
  <c r="D44" i="1"/>
  <c r="D75" i="1"/>
  <c r="D64" i="1" l="1"/>
  <c r="D213" i="1" l="1"/>
  <c r="D192" i="1" l="1"/>
  <c r="D122" i="1" l="1"/>
  <c r="D119" i="1" l="1"/>
  <c r="D129" i="1"/>
  <c r="D90" i="1"/>
  <c r="D91" i="1"/>
  <c r="D27" i="1"/>
  <c r="D125" i="1" l="1"/>
  <c r="D223" i="1" s="1"/>
  <c r="D215" i="1"/>
  <c r="D174" i="1"/>
  <c r="D173" i="1"/>
  <c r="D171" i="1"/>
  <c r="D156" i="1"/>
  <c r="D89" i="1"/>
  <c r="D88" i="1" s="1"/>
  <c r="D210" i="1" l="1"/>
  <c r="D123" i="1" l="1"/>
  <c r="D118" i="1"/>
  <c r="D117" i="1"/>
  <c r="D198" i="1"/>
  <c r="D199" i="1"/>
  <c r="D209" i="1"/>
  <c r="D208" i="1"/>
  <c r="D206" i="1"/>
  <c r="D205" i="1"/>
  <c r="D202" i="1"/>
  <c r="D200" i="1"/>
  <c r="D116" i="1" l="1"/>
  <c r="D121" i="1"/>
  <c r="D197" i="1"/>
  <c r="D190" i="1"/>
  <c r="D189" i="1"/>
  <c r="D186" i="1"/>
  <c r="D187" i="1"/>
  <c r="D30" i="1"/>
  <c r="D34" i="1"/>
  <c r="D33" i="1"/>
  <c r="D169" i="1"/>
  <c r="D103" i="1"/>
  <c r="D63" i="1"/>
  <c r="D54" i="1"/>
  <c r="D69" i="1" l="1"/>
  <c r="D40" i="1"/>
  <c r="D39" i="1" s="1"/>
  <c r="D29" i="1" l="1"/>
  <c r="D16" i="1"/>
  <c r="D48" i="1" l="1"/>
  <c r="D49" i="1"/>
  <c r="D47" i="1" l="1"/>
  <c r="D114" i="1"/>
  <c r="D112" i="1"/>
  <c r="L32" i="2"/>
  <c r="L40" i="2" s="1"/>
  <c r="J32" i="2"/>
  <c r="J40" i="2" s="1"/>
  <c r="D86" i="1" s="1"/>
  <c r="D84" i="1" s="1"/>
  <c r="H25" i="2"/>
  <c r="H23" i="2"/>
  <c r="H17" i="2"/>
  <c r="H19" i="2"/>
  <c r="H21" i="2"/>
  <c r="F25" i="2"/>
  <c r="F19" i="2"/>
  <c r="F17" i="2"/>
  <c r="E22" i="2"/>
  <c r="F21" i="2" s="1"/>
  <c r="D17" i="2"/>
  <c r="H40" i="2" l="1"/>
  <c r="D113" i="1" s="1"/>
  <c r="D111" i="1" s="1"/>
  <c r="F23" i="2"/>
  <c r="F27" i="2" s="1"/>
  <c r="F40" i="2" s="1"/>
  <c r="D104" i="1" s="1"/>
  <c r="C31" i="3"/>
  <c r="E31" i="3" s="1"/>
  <c r="C29" i="3"/>
  <c r="E29" i="3" s="1"/>
  <c r="C27" i="3"/>
  <c r="E27" i="3" s="1"/>
  <c r="C25" i="3"/>
  <c r="E25" i="3" s="1"/>
  <c r="C23" i="3"/>
  <c r="E23" i="3" s="1"/>
  <c r="C21" i="3"/>
  <c r="E21" i="3" s="1"/>
  <c r="C19" i="3"/>
  <c r="E19" i="3" s="1"/>
  <c r="C17" i="3"/>
  <c r="E17" i="3" s="1"/>
  <c r="D38" i="2"/>
  <c r="D32" i="2"/>
  <c r="B27" i="2"/>
  <c r="D25" i="2"/>
  <c r="D23" i="2"/>
  <c r="D21" i="2"/>
  <c r="D19" i="2"/>
  <c r="D27" i="2" l="1"/>
  <c r="D40" i="2" s="1"/>
  <c r="D77" i="1" s="1"/>
  <c r="E33" i="3"/>
  <c r="E35" i="3" l="1"/>
  <c r="D105" i="1" s="1"/>
  <c r="D102" i="1" s="1"/>
  <c r="D78" i="1"/>
  <c r="D76" i="1"/>
  <c r="D74" i="1" l="1"/>
  <c r="D183" i="1"/>
  <c r="D178" i="1"/>
  <c r="D177" i="1" l="1"/>
  <c r="D94" i="1" l="1"/>
  <c r="D93" i="1" s="1"/>
</calcChain>
</file>

<file path=xl/sharedStrings.xml><?xml version="1.0" encoding="utf-8"?>
<sst xmlns="http://schemas.openxmlformats.org/spreadsheetml/2006/main" count="420" uniqueCount="284">
  <si>
    <t>Rekapitulace</t>
  </si>
  <si>
    <t>Objednavatel : Povodí Odry, s.p.</t>
  </si>
  <si>
    <t>Zhotovitel : AQUATIS a.s.</t>
  </si>
  <si>
    <t>Položka</t>
  </si>
  <si>
    <t>Popis položky</t>
  </si>
  <si>
    <t>Jednotka</t>
  </si>
  <si>
    <t>Zemní práce</t>
  </si>
  <si>
    <t>m</t>
  </si>
  <si>
    <t>Výkopy</t>
  </si>
  <si>
    <t>Množství DPS</t>
  </si>
  <si>
    <t>2.1</t>
  </si>
  <si>
    <t>2.2</t>
  </si>
  <si>
    <t>Bourací práce</t>
  </si>
  <si>
    <t>1.1</t>
  </si>
  <si>
    <t>1.2</t>
  </si>
  <si>
    <t>1.3</t>
  </si>
  <si>
    <t>kplt</t>
  </si>
  <si>
    <t>m3</t>
  </si>
  <si>
    <t>2.3</t>
  </si>
  <si>
    <t>m2</t>
  </si>
  <si>
    <t>ks</t>
  </si>
  <si>
    <t>2.4</t>
  </si>
  <si>
    <t>2.5</t>
  </si>
  <si>
    <t>2.6</t>
  </si>
  <si>
    <t>3.1</t>
  </si>
  <si>
    <t>3.2</t>
  </si>
  <si>
    <t>2.7</t>
  </si>
  <si>
    <t>Ostatní</t>
  </si>
  <si>
    <t>7.1</t>
  </si>
  <si>
    <t>Zálivka vysetých trávníků 3x plocha osetí</t>
  </si>
  <si>
    <t>7.2</t>
  </si>
  <si>
    <t>7.4</t>
  </si>
  <si>
    <t>3.3</t>
  </si>
  <si>
    <t>2.8</t>
  </si>
  <si>
    <t>3</t>
  </si>
  <si>
    <t>4</t>
  </si>
  <si>
    <t>7</t>
  </si>
  <si>
    <t>2.10</t>
  </si>
  <si>
    <t>3.4</t>
  </si>
  <si>
    <t>3.5</t>
  </si>
  <si>
    <t>3.6</t>
  </si>
  <si>
    <t>3.7</t>
  </si>
  <si>
    <t>Výkaz výměr - Přivaděč Vyšní Lhoty - Žermanice,</t>
  </si>
  <si>
    <t>koryto, km 0,000-3,633 - 2.etapa, km 1,881-3,633</t>
  </si>
  <si>
    <t>SO 03 Přivaděč km 1,881 00 - km 2,644 00</t>
  </si>
  <si>
    <t>Datum : Duben 2022</t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</si>
  <si>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</si>
  <si>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t>I. etapa</t>
  </si>
  <si>
    <t>II. etapa</t>
  </si>
  <si>
    <t>Provizorní zásyp rýhy fr. 32 - 63</t>
  </si>
  <si>
    <t>0,99m2*763,32m</t>
  </si>
  <si>
    <t>Štěrkopísek fr. 0 - 8 pod trávobetonové tvárnice</t>
  </si>
  <si>
    <t>Zpětný hutněný zásyp materiálem z výkopu</t>
  </si>
  <si>
    <t>(0,65m2 + 0,67m2) * 763,32m</t>
  </si>
  <si>
    <t>(0,27m2+0,20m2)*763,32m</t>
  </si>
  <si>
    <t>Vodorovné konstrukce</t>
  </si>
  <si>
    <t>Příčné spáry</t>
  </si>
  <si>
    <t>1/P Těsnící pás  viz výkaz výrobků</t>
  </si>
  <si>
    <t>Betony</t>
  </si>
  <si>
    <t>763,2m*2,4m2</t>
  </si>
  <si>
    <t>(55m2*0,2m) + (3,05m2*0,5m)</t>
  </si>
  <si>
    <t>přípočet u sjezdu 11</t>
  </si>
  <si>
    <t>Podkladní beton C16/20</t>
  </si>
  <si>
    <t>Čerpání vody ze stavební jámy 3 čerpadla po dobu 10 měsíců 8hod denně na výšku 5m, zvětšené délka čerpacích hadic, včetně odvodňovacích kanálků a jímek na dně stavební jámy a jejich zpětný zásyp</t>
  </si>
  <si>
    <t>C30/37 XF3 XA1 specifikace dle statického výpočtu</t>
  </si>
  <si>
    <t>Trvalý sjezd č.11</t>
  </si>
  <si>
    <t>Tab.4</t>
  </si>
  <si>
    <t>Profil</t>
  </si>
  <si>
    <t>Vzdálenost</t>
  </si>
  <si>
    <t>plocha</t>
  </si>
  <si>
    <t>Objem</t>
  </si>
  <si>
    <r>
      <t>m</t>
    </r>
    <r>
      <rPr>
        <b/>
        <vertAlign val="superscript"/>
        <sz val="10"/>
        <rFont val="Arial"/>
        <family val="2"/>
        <charset val="238"/>
      </rPr>
      <t>2</t>
    </r>
  </si>
  <si>
    <r>
      <t>m</t>
    </r>
    <r>
      <rPr>
        <b/>
        <vertAlign val="superscript"/>
        <sz val="10"/>
        <rFont val="Arial"/>
        <family val="2"/>
        <charset val="238"/>
      </rPr>
      <t>3</t>
    </r>
  </si>
  <si>
    <t>zú</t>
  </si>
  <si>
    <t>03/C1</t>
  </si>
  <si>
    <t>03/C2</t>
  </si>
  <si>
    <t>03/C3</t>
  </si>
  <si>
    <t>03/C4</t>
  </si>
  <si>
    <t>kú 1</t>
  </si>
  <si>
    <t>Mezisoučet</t>
  </si>
  <si>
    <t xml:space="preserve">Vvýkop pro patku 1 </t>
  </si>
  <si>
    <t>Plocha v řezu</t>
  </si>
  <si>
    <t>Šířka</t>
  </si>
  <si>
    <t>Výkop pro patku 2</t>
  </si>
  <si>
    <t>Délka</t>
  </si>
  <si>
    <t>Dočasný sjezd</t>
  </si>
  <si>
    <t>Výkop</t>
  </si>
  <si>
    <t>Staničení</t>
  </si>
  <si>
    <t>Celkem</t>
  </si>
  <si>
    <t>Násyp</t>
  </si>
  <si>
    <t>32-63</t>
  </si>
  <si>
    <t>0-63</t>
  </si>
  <si>
    <t>Plocha z půdorysu</t>
  </si>
  <si>
    <t>Tl. vrstvy</t>
  </si>
  <si>
    <t>Ohumusování tl. 0,15</t>
  </si>
  <si>
    <t>odměřeno ze situace</t>
  </si>
  <si>
    <t>Výpočet viz list dočasný sjezd</t>
  </si>
  <si>
    <t>sjezd 11</t>
  </si>
  <si>
    <t>dočasný sjezd</t>
  </si>
  <si>
    <r>
      <t>m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</si>
  <si>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t>Svrchní vrstvy 0,10 m</t>
  </si>
  <si>
    <t>1.4</t>
  </si>
  <si>
    <t>Vybourání  drenážního potrubí dn 400 v délce 6 m</t>
  </si>
  <si>
    <t>1.5</t>
  </si>
  <si>
    <t xml:space="preserve">Vybourání betonové desky okolo šachty Š19/P   a bourání    betonového dna a svahů koryta v místě demolice šachty Š 19        3,3 * 3,3  * 0,3= 3,9                                        </t>
  </si>
  <si>
    <t>1.6</t>
  </si>
  <si>
    <t>1.7</t>
  </si>
  <si>
    <t>1.7.1</t>
  </si>
  <si>
    <t>Odstranění pařezů 100-300 mm</t>
  </si>
  <si>
    <t>1.7.2</t>
  </si>
  <si>
    <t>Odstranění pařezů 300-500 mm 30 %</t>
  </si>
  <si>
    <t>1.7.3</t>
  </si>
  <si>
    <t>Odstranění pařezů 500-700 mm - 10%</t>
  </si>
  <si>
    <t>1.7.4</t>
  </si>
  <si>
    <t>Odstranění pařezů7 00-900 mm</t>
  </si>
  <si>
    <t>1.8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</si>
  <si>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</si>
  <si>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 xml:space="preserve">Demontáž šachty Š19/P včetně likvidace dle platné legislativy - vybourání a odvezení   betonového dna 1 ks  </t>
  </si>
  <si>
    <t xml:space="preserve">Do výpočtu je zahrnuto odstranění stávajících pařezů nacházejících se v obvodu staveniště. Likvidace dle platné legislativy </t>
  </si>
  <si>
    <t>Bourání konstrukcí - I. etapa</t>
  </si>
  <si>
    <t>Betonové desky ve dně koryta</t>
  </si>
  <si>
    <t>Výkop rýhy pro pokládku drenážního potrubí na obou březích  (1,6m2+1,98m2) * 763,32m</t>
  </si>
  <si>
    <t>2.1.1</t>
  </si>
  <si>
    <t>2.1.2</t>
  </si>
  <si>
    <t>Poznámka: ostatní výkopy pro osazení šachet jsou započteny ve výkopech pro uložení potrubí v běžné trase</t>
  </si>
  <si>
    <t>Bourání konstrukcí - II. etapa</t>
  </si>
  <si>
    <t>Výkop v nepaženi rýze</t>
  </si>
  <si>
    <t>Obsyp potrubí  v podélné trase (0,60m2 + 0,75m2)*763,32m</t>
  </si>
  <si>
    <t>2.9.</t>
  </si>
  <si>
    <t>2.11</t>
  </si>
  <si>
    <t>Propojovací potrubí  0,6 m2*16,60m</t>
  </si>
  <si>
    <t>2.6.1</t>
  </si>
  <si>
    <t>2.6.2</t>
  </si>
  <si>
    <t>2.6.3</t>
  </si>
  <si>
    <t>Výkop pro sjezd 11 - Výpočet viz list sjezd 11</t>
  </si>
  <si>
    <t>2.6.4</t>
  </si>
  <si>
    <t>Výkop pro dočasný sjezd - Výpočet viz list dočasný sjezd</t>
  </si>
  <si>
    <t>2.6.5</t>
  </si>
  <si>
    <t>Doplnění výkopů u mostu</t>
  </si>
  <si>
    <t>1.9.1</t>
  </si>
  <si>
    <t>1.9.2</t>
  </si>
  <si>
    <t xml:space="preserve">Pro vysypání tvárnic - 2/3 otvorů </t>
  </si>
  <si>
    <t>Plocha tvárnic 1223 m2 z toho díry cca 0,5</t>
  </si>
  <si>
    <t>0,08*0,5*1223</t>
  </si>
  <si>
    <t>Pod betonovými deskami mostů</t>
  </si>
  <si>
    <t>most km   2 ,641  -     ( 4,3+4,3)  * 0,15*6,4</t>
  </si>
  <si>
    <t>0,04*0,5*1223</t>
  </si>
  <si>
    <t>Proříznutí spáry  - šířka  4 mm, hloubka  140mm</t>
  </si>
  <si>
    <t>viz výrobky</t>
  </si>
  <si>
    <t>Mosty pod betonovými patkami</t>
  </si>
  <si>
    <t>most km   2 ,641  -     ( 1.2 + 1,2)  * 0,1*6,4</t>
  </si>
  <si>
    <t>5</t>
  </si>
  <si>
    <t>Bednění</t>
  </si>
  <si>
    <t>Betony - II. etapa</t>
  </si>
  <si>
    <t>0,15 * 3,75 * 13</t>
  </si>
  <si>
    <t>Dopočet betonu - strop šachta v tl. 150 mm</t>
  </si>
  <si>
    <r>
      <t xml:space="preserve">most km   4 </t>
    </r>
    <r>
      <rPr>
        <vertAlign val="superscript"/>
        <sz val="11"/>
        <rFont val="Calibri"/>
        <family val="2"/>
        <charset val="238"/>
        <scheme val="minor"/>
      </rPr>
      <t xml:space="preserve">* </t>
    </r>
    <r>
      <rPr>
        <sz val="11"/>
        <rFont val="Calibri"/>
        <family val="2"/>
        <charset val="238"/>
        <scheme val="minor"/>
      </rPr>
      <t>6,4 *0,2</t>
    </r>
  </si>
  <si>
    <t xml:space="preserve">Betonové desky - opevnění svahu </t>
  </si>
  <si>
    <t>most km   2 ,641  -       (0,75m2 +0,65 m2)*6,4</t>
  </si>
  <si>
    <t>most km   2 ,641  -          2*0,1 m2*6,4</t>
  </si>
  <si>
    <t>4.1</t>
  </si>
  <si>
    <t>4.2</t>
  </si>
  <si>
    <t>4.3</t>
  </si>
  <si>
    <t>Opěrné patky  za mostními pilíři</t>
  </si>
  <si>
    <t>most km  1,187 55    0,47m2 * 6,4 * 2</t>
  </si>
  <si>
    <t>Pod trávobetonové tvárnice      (0,1m2 +0,1m2) * 763,32m</t>
  </si>
  <si>
    <t xml:space="preserve">most km  1,187 55   (0,7 + 0,7)*0,1*6,4 = </t>
  </si>
  <si>
    <t>Dno a šikmé stěny přivaděče</t>
  </si>
  <si>
    <t>most km  1,187 55               (0,7 m2 +  0,75 m2)*6,4</t>
  </si>
  <si>
    <t>most km  1,187 55                     2*0,1 m2*6,4</t>
  </si>
  <si>
    <t>most km  1,187 55   4,3 m * 6,4 *0,2</t>
  </si>
  <si>
    <t>most km  1,187 55   (4+4,3)*0,15*6,4</t>
  </si>
  <si>
    <t>Bednění rovinné</t>
  </si>
  <si>
    <t>Bednění  patek</t>
  </si>
  <si>
    <t>Bednění podélných spár ve dně koryta    (762m + 765m)*0,25m</t>
  </si>
  <si>
    <t>Bednění betonových desek - opevnění pod mosty</t>
  </si>
  <si>
    <t xml:space="preserve">most km   2 ,641      </t>
  </si>
  <si>
    <t>Patka   (0,5 m+0,5+6,4)* 0,8*2</t>
  </si>
  <si>
    <t>Boční stěny*+ dilatace   0,66m2 *6</t>
  </si>
  <si>
    <t xml:space="preserve">most km  1,187 55                   </t>
  </si>
  <si>
    <t>Boční stěny*+ dilatace   0,70m2 *6</t>
  </si>
  <si>
    <t>Bednění otvoru pro vstup do šachty v betonové desce stropu šachty     1m*4*0,3m*13</t>
  </si>
  <si>
    <r>
      <t>m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</si>
  <si>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t>2.12</t>
  </si>
  <si>
    <t>2.14</t>
  </si>
  <si>
    <t>Svahování násypů</t>
  </si>
  <si>
    <t>Koryto   10m * 763,30</t>
  </si>
  <si>
    <t>Sjezd  11                            53 m2 + 4*13</t>
  </si>
  <si>
    <t xml:space="preserve">Přípočet mosty     4*0,8m *6,4m </t>
  </si>
  <si>
    <t>Sanační stěrka na betony</t>
  </si>
  <si>
    <t>Vyrovnání betonů pod těsnícím pásem  pod 5/P   0,25*69</t>
  </si>
  <si>
    <t xml:space="preserve">5/P+5/Z = 17,5 +1 </t>
  </si>
  <si>
    <t>Vyrovnání betonů pod ocelovou deskou v šachtě Š 6   1m*1m</t>
  </si>
  <si>
    <t>Přípočet betonové opevnění za pilířem mostu</t>
  </si>
  <si>
    <r>
      <t>Bednění stropu šachet       1m*1m*13                                                      - prostor pod stropem 0,55 m</t>
    </r>
    <r>
      <rPr>
        <vertAlign val="superscript"/>
        <sz val="11"/>
        <rFont val="Calibri"/>
        <family val="2"/>
        <charset val="238"/>
        <scheme val="minor"/>
      </rPr>
      <t>3</t>
    </r>
  </si>
  <si>
    <r>
      <t>most km   2 ,641  -       0,4 m</t>
    </r>
    <r>
      <rPr>
        <vertAlign val="superscript"/>
        <sz val="11"/>
        <rFont val="Calibri"/>
        <family val="2"/>
        <charset val="238"/>
        <scheme val="minor"/>
      </rPr>
      <t xml:space="preserve">2 * </t>
    </r>
    <r>
      <rPr>
        <sz val="11"/>
        <rFont val="Calibri"/>
        <family val="2"/>
        <charset val="238"/>
        <scheme val="minor"/>
      </rPr>
      <t>6,4 * 2</t>
    </r>
  </si>
  <si>
    <t>6</t>
  </si>
  <si>
    <t xml:space="preserve">Ocelová výztuž </t>
  </si>
  <si>
    <t>Sjezd 11 - Betonové  práhy  2*0,8m * (9,5m+10m)</t>
  </si>
  <si>
    <t>kg</t>
  </si>
  <si>
    <t>Pískový obsyp drenáží fr. 8 - 16</t>
  </si>
  <si>
    <t>Obsyp  napojovacího potrubí na šachtu Š 19 /P                                                               0,60m2*6m</t>
  </si>
  <si>
    <r>
      <t>Obsyp propojovacího potrubí   ( šachty 24 a 19A)  0,60m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*16,60m</t>
    </r>
  </si>
  <si>
    <r>
      <t>Obsyp potrubí mezi Š 19/P a Š 19a/L                                                                                     0,6 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* 17,2m</t>
    </r>
  </si>
  <si>
    <t xml:space="preserve">Provizorní ochranný zásyp v korytě fr. 63-125 pro převedení vody do Žermanic, dosypání na původní úroveň po odstraněném betonu </t>
  </si>
  <si>
    <r>
      <t>Kolem šachty Š 19 nad potrubím   0,6 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*6 m</t>
    </r>
  </si>
  <si>
    <r>
      <t>Nad potrubím mezi Š 19/P a Š 19a/L         0,6 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* 15,2m</t>
    </r>
  </si>
  <si>
    <r>
      <t>Š 19 nad potrubím   0,75  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*6 m</t>
    </r>
  </si>
  <si>
    <r>
      <t>most km   2 ,641  -       0,8 m</t>
    </r>
    <r>
      <rPr>
        <vertAlign val="superscript"/>
        <sz val="11"/>
        <rFont val="Calibri"/>
        <family val="2"/>
        <charset val="238"/>
        <scheme val="minor"/>
      </rPr>
      <t xml:space="preserve">2 * </t>
    </r>
    <r>
      <rPr>
        <sz val="11"/>
        <rFont val="Calibri"/>
        <family val="2"/>
        <charset val="238"/>
        <scheme val="minor"/>
      </rPr>
      <t>6,4 * 2</t>
    </r>
  </si>
  <si>
    <r>
      <t>Štěrkodrť ŠD</t>
    </r>
    <r>
      <rPr>
        <b/>
        <sz val="8"/>
        <rFont val="Calibri"/>
        <family val="2"/>
        <charset val="238"/>
        <scheme val="minor"/>
      </rPr>
      <t>A</t>
    </r>
    <r>
      <rPr>
        <b/>
        <sz val="11"/>
        <rFont val="Calibri"/>
        <family val="2"/>
        <charset val="238"/>
        <scheme val="minor"/>
      </rPr>
      <t xml:space="preserve"> fr. 0 - 63, tl. 400mm</t>
    </r>
  </si>
  <si>
    <t>Pro vysypání tvárnic - 1/3 otvorů včetně ručního vybrání větších kamenů</t>
  </si>
  <si>
    <t>Odstranění původního potrubí  DN 200 po obou stranách koryta                                     762m+765m</t>
  </si>
  <si>
    <t>provizorní zásyp kamenivem fr.63*-125  u šachet (navýšení oproti běžné trase)</t>
  </si>
  <si>
    <r>
      <t>Propojovací potrubí   u Š19 a Š24   0,75m</t>
    </r>
    <r>
      <rPr>
        <vertAlign val="superscript"/>
        <sz val="11"/>
        <rFont val="Calibri"/>
        <family val="2"/>
        <charset val="238"/>
        <scheme val="minor"/>
      </rPr>
      <t xml:space="preserve"> 2 </t>
    </r>
    <r>
      <rPr>
        <sz val="11"/>
        <rFont val="Calibri"/>
        <family val="2"/>
        <charset val="238"/>
        <scheme val="minor"/>
      </rPr>
      <t>*  6m * 2</t>
    </r>
  </si>
  <si>
    <t>Podsyp podkladních betonů kamenivem  fr. 32 - 63, tl. 150mm v místě šachet</t>
  </si>
  <si>
    <t>0,3m2*1,80m*13ks</t>
  </si>
  <si>
    <t>Výkop pro šachty 19a L,P až 24L,P                                              (0,6m2+0,5m2)*3,55m*13ks</t>
  </si>
  <si>
    <t>Výkop pro propojující potrubí DN 400                                               1,62m2*8,3m*2 + 1,62*17,2 +1,6 *6 (propojení šachet Š19 a Š24+ propojení Š19/P a Š19a/L+ okolí Š19/P)</t>
  </si>
  <si>
    <t>Hutněná vrstva kameniva   fr. 32 - 63, tl. 150+ mm na hutněnou pláň, tj. tloušťka vrstvy nad úroveň podloží, znaménko + značí částečné zatlačení vrstvy do podloží</t>
  </si>
  <si>
    <t>5,95m2* 763,32m</t>
  </si>
  <si>
    <t>2.13</t>
  </si>
  <si>
    <t>Proříznutí podélné spáry v ose 764,0 m</t>
  </si>
  <si>
    <t>Očištění betonu tlakovou vodou pod 5/P a 5/Z</t>
  </si>
  <si>
    <t>Odřezání betonu u Š19/P, délka řezu   4,6+3,6 m , 
hloubka řezu 0,3 m  ,  Plocha řezu: 8,2m*0,3 m</t>
  </si>
  <si>
    <t xml:space="preserve">Demontáž trávobetonových dlaždic nad šachtou Š19/P ,
včetně uložení na bezpečné místo a zpětná montáž 3.5.*0,8 = </t>
  </si>
  <si>
    <t>1.9</t>
  </si>
  <si>
    <t>šachty 19/P, 19a L,P až 24L,P</t>
  </si>
  <si>
    <t>2 m* 2 m * 0,1 * 13 ks</t>
  </si>
  <si>
    <t>Základy pod sloupky závory         4*0,3m*0,8m*2</t>
  </si>
  <si>
    <t>6.1</t>
  </si>
  <si>
    <t>6.2</t>
  </si>
  <si>
    <t>Ochranný rošt do rámu poklopů šachet v době výstavby  600*900 mm, oka 50/50 mm s provizorním přikotvením (např. svařené 2 kari sítě 8/100-8/100 s 50mm posunem, demontáž, likvidace v souladu s platnou legislativou, 2ks</t>
  </si>
  <si>
    <t>7.3</t>
  </si>
  <si>
    <t>3900+1223m2</t>
  </si>
  <si>
    <t>Svrchní vrstva z tříděného hlín. materiálu, tl.100</t>
  </si>
  <si>
    <r>
      <rPr>
        <b/>
        <sz val="11"/>
        <rFont val="Calibri"/>
        <family val="2"/>
        <charset val="238"/>
        <scheme val="minor"/>
      </rPr>
      <t>Osetí</t>
    </r>
    <r>
      <rPr>
        <sz val="11"/>
        <rFont val="Calibri"/>
        <family val="2"/>
        <charset val="238"/>
        <scheme val="minor"/>
      </rPr>
      <t xml:space="preserve"> svahů nad korytem a osetí trávobetonových dlaždic ve sklonu 1:2</t>
    </r>
  </si>
  <si>
    <t>Pneumatická ucpávka (vak) potrubí DN400 v šachtě Š19/P, její demontáž a zpětné osazení po dobu výstavby</t>
  </si>
  <si>
    <t xml:space="preserve">Kácení křovin a mlazin.  Celková plocha   upravovaných svahů koryta je  koryta je 5370 m2   viz pol. 1.7. Uvažováno kácení 40% plochy)          tj. 5370*0,40              Likvidace dle platné legislativy .                                  </t>
  </si>
  <si>
    <t>Dočasný sjezd    31 m *3,5m*0,15m</t>
  </si>
  <si>
    <t>sjezd 11     3,5m*12,5m*0,15m</t>
  </si>
  <si>
    <t>2.15</t>
  </si>
  <si>
    <t>Silniční panely 300/100/150 - montáž a demontáž</t>
  </si>
  <si>
    <t>Provizorní sjezd   plocha     3*31             - 93 ks</t>
  </si>
  <si>
    <t>Provizorní sjezd                      3,5m*31m*</t>
  </si>
  <si>
    <t>3.8</t>
  </si>
  <si>
    <t>Vaková pneumatická ucpávka potrubí DN400 v šachtě Š18/P, Š6 a Š19/P</t>
  </si>
  <si>
    <t>bude použita v Š18/P a Š6 současně, dále pak v šachtě Š19/P bude montována 2x a opět demontována</t>
  </si>
  <si>
    <t>3.9</t>
  </si>
  <si>
    <t>Demontáž nerezové měrné přepážky, uschování na bezpečném místě a zpětná montáž</t>
  </si>
  <si>
    <t>Jímka v korytě přivaděče před mostem Dobratice výšky 0,7m (měřeno v ose), těsněná stěna kotvená do betonů etapy 1, včetně návrhu, těsnění, vzpěr, přikotvení, montáže, dočasné demontáže, opětné moztáže, demontáže a likvidace dle platné legislativy, včetně sanace otvorů po kotvení</t>
  </si>
  <si>
    <t>2.16</t>
  </si>
  <si>
    <t>Ruční vybrání větších kamenů při vyplnění dlaždic materiálem zásypů z výkopu v ploše zatravňovacích dlaždic ve svahu</t>
  </si>
  <si>
    <t>koryto                                    2* 3,7*763,30</t>
  </si>
  <si>
    <t>0,5*0,84*4,2+0,6*0,81*4,2</t>
  </si>
  <si>
    <t>kari síť 2*2,5 m2 = 5,0 m2</t>
  </si>
  <si>
    <t>Výkop v nepažené  jámě , hornina tř. 2</t>
  </si>
  <si>
    <t>Výkopy - třída těžitelnosti 2</t>
  </si>
  <si>
    <r>
      <t>Svařováná síť Kari 6/100/100                                                                           31,2 m</t>
    </r>
    <r>
      <rPr>
        <vertAlign val="superscript"/>
        <sz val="11"/>
        <rFont val="Calibri"/>
        <family val="2"/>
        <charset val="238"/>
        <scheme val="minor"/>
      </rPr>
      <t>2 *</t>
    </r>
    <r>
      <rPr>
        <sz val="11"/>
        <rFont val="Calibri"/>
        <family val="2"/>
        <charset val="238"/>
        <scheme val="minor"/>
      </rPr>
      <t xml:space="preserve"> 1,3 ( přesah)*4,44 kg/m</t>
    </r>
    <r>
      <rPr>
        <vertAlign val="superscript"/>
        <sz val="11"/>
        <rFont val="Calibri"/>
        <family val="2"/>
        <charset val="238"/>
        <scheme val="minor"/>
      </rPr>
      <t>2</t>
    </r>
  </si>
  <si>
    <t>Úprava pláně se zhutněním</t>
  </si>
  <si>
    <t>Trvalý sjezd</t>
  </si>
  <si>
    <t xml:space="preserve">Železobeton C 30/37                                                                               základové pásy z prostého betonu C 30/37 XF3 u závory kari sítí v horním líci 6/100-6/100, krytí 50mm
</t>
  </si>
  <si>
    <r>
      <t>Trasa nad potrubím  (0,75m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+0,85m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)*763,32m</t>
    </r>
  </si>
  <si>
    <t>2.17</t>
  </si>
  <si>
    <t>Betonové desky ve svahu za pilíři</t>
  </si>
  <si>
    <t>Rozhrnutí a zhutnění podkladních vrstev fr. 32-63 a 63-125 z provizovních zásypů v rýze nad drenáží do plochy koryta, zhutnění dle požadavků technické zprávy</t>
  </si>
  <si>
    <t>Výkop v nepažené jámě - koryto                                                               7,54m2 * 763,32 m</t>
  </si>
  <si>
    <t>7.5</t>
  </si>
  <si>
    <t>l. 12m, š. 1,0, hl. 0,9 m pod spodní líc betonu</t>
  </si>
  <si>
    <t>2.18</t>
  </si>
  <si>
    <t>Těsnící rýha pro přerušení přítoků do stavební jámy z podsypů desky v 1. Etapě jílovitou zeminou - ochrana staveniště</t>
  </si>
  <si>
    <t>Výkop pro osazení šachtových den  v rámci I. etapy   - 13 ks šachet                      2,52m2*2,5m*13ks</t>
  </si>
  <si>
    <t>zásyp kam. fr. 32-63 u šachet do úrovně odstraněného bet.                      1.78m2*2,7m*13ks</t>
  </si>
  <si>
    <t>0,5m2*3,2m*13ks</t>
  </si>
  <si>
    <r>
      <t xml:space="preserve">Odstranění pařezů na svazích koryta - uvažováno cca 1 ks /8 m 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                                                          LB   Plocha  3,6*  763 m =     2745 m2                                                                                             PB   Plocha  3,5*  763 m =     2626 m2                                                                                              Celkem Plocha  5370 m2    </t>
    </r>
    <r>
      <rPr>
        <sz val="11"/>
        <rFont val="Calibri"/>
        <family val="2"/>
        <charset val="238"/>
      </rPr>
      <t xml:space="preserve">=&gt; celkem </t>
    </r>
    <r>
      <rPr>
        <sz val="11"/>
        <rFont val="Calibri"/>
        <family val="2"/>
        <charset val="238"/>
        <scheme val="minor"/>
      </rPr>
      <t xml:space="preserve">      669 ks   pařezů                                                                                        Z toho</t>
    </r>
  </si>
  <si>
    <t>669ks x 0,1m3</t>
  </si>
  <si>
    <t>Zásyp jam po odstranění pařezů - nad rámec zeminy při odkopání pařezů</t>
  </si>
  <si>
    <t>(1,33+1,56)*763,32</t>
  </si>
  <si>
    <t>2,45m2 * 763,32m * 1,3  - běžná trasa, předpoklad 30% zatlačení do podloží, se zmenšením celkového objemu o materiál rozhrnutý z provizorních zásypů rýhy pol.2.17 2206m3</t>
  </si>
  <si>
    <t>Svahy a dno (0,77m2+0,77m2)*763,32m</t>
  </si>
  <si>
    <t>neobsazeno</t>
  </si>
  <si>
    <t>Vložka do podélných bedněných dilatačních spár tl. cca 5 mm, např. Mirelon</t>
  </si>
  <si>
    <t>(762m + 765m)*0,25m</t>
  </si>
  <si>
    <t>9m*151ks</t>
  </si>
  <si>
    <t>Betonové desky - nad bouraným stávajícím potrubí, včetně opevnění  svahů na obou březích koryta. Ubourání betonů se předpokládá bez odřezání, protože jde o značně porušené betony (kraj odbourání nemusí být rovný). Ubouráním však nesmí být znemožněn pojezd a převádění vody nad ponechanou částí betonů, které budou odbourávány ve 2. části prací. 
(0,8m2 + 0,75m2)*763,32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</si>
</sst>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K_č_-;\-* #,##0.00\ _K_č_-;_-* &quot;-&quot;??\ _K_č_-;_-@_-"/>
    <numFmt numFmtId="165" formatCode="0.0"/>
    <numFmt numFmtId="166" formatCode="_-* #,##0.0\ _K_č_-;\-* #,##0.0\ _K_č_-;_-* &quot;-&quot;??\ _K_č_-;_-@_-"/>
    <numFmt numFmtId="167" formatCode="_-* #,##0\ _K_č_-;\-* #,##0\ _K_č_-;_-* &quot;-&quot;??\ _K_č_-;_-@_-"/>
    <numFmt numFmtId="168" formatCode="#,##0.0_ ;\-#,##0.0\ 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 CE"/>
      <charset val="238"/>
    </font>
    <font>
      <b/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Arial CE"/>
      <charset val="238"/>
    </font>
    <font>
      <b/>
      <sz val="14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0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rgb="FF00B05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176">
    <xf numFmtId="0" fontId="0" fillId="0" borderId="0" xfId="0"/>
    <xf numFmtId="0" fontId="0" fillId="0" borderId="0" xfId="0"/>
    <xf numFmtId="0" fontId="3" fillId="0" borderId="0" xfId="0" applyFont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/>
    </xf>
    <xf numFmtId="49" fontId="0" fillId="0" borderId="0" xfId="0" applyNumberFormat="1"/>
    <xf numFmtId="49" fontId="2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0" fontId="9" fillId="0" borderId="0" xfId="0" applyFont="1" applyBorder="1" applyAlignment="1">
      <alignment vertical="top"/>
    </xf>
    <xf numFmtId="0" fontId="10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/>
    <xf numFmtId="49" fontId="8" fillId="0" borderId="2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66" fontId="5" fillId="0" borderId="3" xfId="0" applyNumberFormat="1" applyFont="1" applyFill="1" applyBorder="1" applyAlignment="1">
      <alignment horizontal="center" vertical="center"/>
    </xf>
    <xf numFmtId="49" fontId="14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/>
    <xf numFmtId="2" fontId="15" fillId="0" borderId="0" xfId="0" applyNumberFormat="1" applyFont="1"/>
    <xf numFmtId="49" fontId="15" fillId="0" borderId="0" xfId="0" applyNumberFormat="1" applyFont="1" applyAlignment="1">
      <alignment horizontal="left"/>
    </xf>
    <xf numFmtId="0" fontId="15" fillId="0" borderId="0" xfId="0" applyFont="1" applyAlignment="1">
      <alignment horizontal="center" vertical="top" wrapText="1"/>
    </xf>
    <xf numFmtId="1" fontId="14" fillId="0" borderId="0" xfId="0" applyNumberFormat="1" applyFont="1" applyAlignment="1">
      <alignment horizontal="center"/>
    </xf>
    <xf numFmtId="2" fontId="15" fillId="0" borderId="0" xfId="0" applyNumberFormat="1" applyFont="1" applyAlignment="1">
      <alignment horizontal="center"/>
    </xf>
    <xf numFmtId="2" fontId="14" fillId="0" borderId="0" xfId="0" applyNumberFormat="1" applyFont="1" applyAlignment="1">
      <alignment horizontal="right"/>
    </xf>
    <xf numFmtId="2" fontId="15" fillId="0" borderId="0" xfId="0" applyNumberFormat="1" applyFont="1" applyAlignment="1">
      <alignment horizontal="left"/>
    </xf>
    <xf numFmtId="0" fontId="14" fillId="0" borderId="0" xfId="0" applyFont="1"/>
    <xf numFmtId="2" fontId="14" fillId="0" borderId="0" xfId="0" applyNumberFormat="1" applyFont="1" applyAlignment="1">
      <alignment horizontal="left"/>
    </xf>
    <xf numFmtId="2" fontId="14" fillId="0" borderId="0" xfId="0" applyNumberFormat="1" applyFont="1"/>
    <xf numFmtId="2" fontId="15" fillId="0" borderId="0" xfId="0" applyNumberFormat="1" applyFont="1" applyAlignment="1">
      <alignment horizontal="right"/>
    </xf>
    <xf numFmtId="2" fontId="15" fillId="0" borderId="4" xfId="0" applyNumberFormat="1" applyFont="1" applyBorder="1"/>
    <xf numFmtId="165" fontId="14" fillId="0" borderId="0" xfId="0" applyNumberFormat="1" applyFont="1"/>
    <xf numFmtId="0" fontId="17" fillId="0" borderId="0" xfId="0" applyFont="1"/>
    <xf numFmtId="0" fontId="15" fillId="0" borderId="0" xfId="0" applyFont="1" applyAlignment="1">
      <alignment horizontal="center"/>
    </xf>
    <xf numFmtId="2" fontId="0" fillId="0" borderId="0" xfId="0" applyNumberFormat="1"/>
    <xf numFmtId="0" fontId="0" fillId="0" borderId="0" xfId="0" applyAlignment="1">
      <alignment horizontal="lef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5" fontId="0" fillId="0" borderId="0" xfId="0" applyNumberFormat="1" applyAlignment="1">
      <alignment horizontal="right"/>
    </xf>
    <xf numFmtId="2" fontId="15" fillId="0" borderId="4" xfId="0" applyNumberFormat="1" applyFont="1" applyBorder="1" applyAlignment="1">
      <alignment horizontal="left"/>
    </xf>
    <xf numFmtId="2" fontId="0" fillId="0" borderId="4" xfId="0" applyNumberFormat="1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right"/>
    </xf>
    <xf numFmtId="0" fontId="14" fillId="0" borderId="0" xfId="0" applyFont="1" applyAlignment="1">
      <alignment horizontal="center"/>
    </xf>
    <xf numFmtId="165" fontId="14" fillId="0" borderId="0" xfId="0" applyNumberFormat="1" applyFont="1" applyAlignment="1">
      <alignment horizontal="center"/>
    </xf>
    <xf numFmtId="2" fontId="14" fillId="0" borderId="0" xfId="0" applyNumberFormat="1" applyFont="1" applyAlignment="1">
      <alignment horizontal="center"/>
    </xf>
    <xf numFmtId="0" fontId="18" fillId="0" borderId="0" xfId="0" applyFont="1"/>
    <xf numFmtId="0" fontId="0" fillId="0" borderId="0" xfId="0" applyAlignment="1">
      <alignment horizontal="center"/>
    </xf>
    <xf numFmtId="165" fontId="18" fillId="0" borderId="0" xfId="0" applyNumberFormat="1" applyFont="1"/>
    <xf numFmtId="0" fontId="19" fillId="0" borderId="4" xfId="0" applyFont="1" applyBorder="1"/>
    <xf numFmtId="2" fontId="19" fillId="0" borderId="4" xfId="0" applyNumberFormat="1" applyFont="1" applyBorder="1"/>
    <xf numFmtId="0" fontId="20" fillId="0" borderId="4" xfId="0" applyFont="1" applyBorder="1"/>
    <xf numFmtId="0" fontId="14" fillId="0" borderId="0" xfId="0" applyFont="1" applyAlignment="1">
      <alignment horizontal="center" wrapText="1"/>
    </xf>
    <xf numFmtId="2" fontId="14" fillId="0" borderId="0" xfId="0" applyNumberFormat="1" applyFont="1" applyAlignment="1">
      <alignment horizontal="center" wrapText="1"/>
    </xf>
    <xf numFmtId="0" fontId="14" fillId="0" borderId="5" xfId="0" applyFont="1" applyBorder="1" applyAlignment="1">
      <alignment horizontal="left"/>
    </xf>
    <xf numFmtId="0" fontId="14" fillId="0" borderId="5" xfId="0" applyFont="1" applyBorder="1" applyAlignment="1">
      <alignment wrapText="1"/>
    </xf>
    <xf numFmtId="0" fontId="14" fillId="0" borderId="5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49" fontId="15" fillId="0" borderId="5" xfId="0" applyNumberFormat="1" applyFont="1" applyBorder="1" applyAlignment="1">
      <alignment horizontal="center"/>
    </xf>
    <xf numFmtId="0" fontId="15" fillId="0" borderId="5" xfId="0" applyFont="1" applyBorder="1" applyAlignment="1">
      <alignment horizontal="center" wrapText="1"/>
    </xf>
    <xf numFmtId="1" fontId="14" fillId="0" borderId="5" xfId="0" applyNumberFormat="1" applyFont="1" applyBorder="1" applyAlignment="1">
      <alignment horizontal="center"/>
    </xf>
    <xf numFmtId="2" fontId="15" fillId="0" borderId="5" xfId="0" applyNumberFormat="1" applyFont="1" applyBorder="1" applyAlignment="1">
      <alignment horizontal="center"/>
    </xf>
    <xf numFmtId="2" fontId="18" fillId="0" borderId="0" xfId="0" applyNumberFormat="1" applyFont="1" applyAlignment="1">
      <alignment horizontal="right"/>
    </xf>
    <xf numFmtId="2" fontId="18" fillId="0" borderId="0" xfId="0" applyNumberFormat="1" applyFont="1"/>
    <xf numFmtId="49" fontId="15" fillId="0" borderId="5" xfId="0" applyNumberFormat="1" applyFont="1" applyBorder="1" applyAlignment="1">
      <alignment horizontal="left"/>
    </xf>
    <xf numFmtId="0" fontId="0" fillId="0" borderId="5" xfId="0" applyBorder="1"/>
    <xf numFmtId="49" fontId="15" fillId="0" borderId="0" xfId="0" applyNumberFormat="1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1" fontId="14" fillId="0" borderId="5" xfId="0" applyNumberFormat="1" applyFont="1" applyFill="1" applyBorder="1" applyAlignment="1">
      <alignment horizontal="center"/>
    </xf>
    <xf numFmtId="0" fontId="0" fillId="0" borderId="0" xfId="0" applyBorder="1"/>
    <xf numFmtId="49" fontId="5" fillId="0" borderId="1" xfId="0" applyNumberFormat="1" applyFont="1" applyFill="1" applyBorder="1"/>
    <xf numFmtId="49" fontId="5" fillId="0" borderId="1" xfId="0" applyNumberFormat="1" applyFont="1" applyFill="1" applyBorder="1" applyAlignment="1">
      <alignment wrapText="1"/>
    </xf>
    <xf numFmtId="164" fontId="0" fillId="0" borderId="0" xfId="0" applyNumberFormat="1"/>
    <xf numFmtId="49" fontId="3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/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/>
    </xf>
    <xf numFmtId="49" fontId="6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wrapText="1"/>
    </xf>
    <xf numFmtId="0" fontId="0" fillId="0" borderId="0" xfId="0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2" fontId="13" fillId="0" borderId="0" xfId="0" applyNumberFormat="1" applyFont="1"/>
    <xf numFmtId="49" fontId="13" fillId="0" borderId="1" xfId="0" applyNumberFormat="1" applyFont="1" applyFill="1" applyBorder="1" applyAlignment="1">
      <alignment horizontal="left" vertical="top"/>
    </xf>
    <xf numFmtId="0" fontId="2" fillId="0" borderId="0" xfId="0" applyFont="1"/>
    <xf numFmtId="0" fontId="5" fillId="0" borderId="0" xfId="0" applyFont="1"/>
    <xf numFmtId="0" fontId="0" fillId="0" borderId="0" xfId="0" applyFill="1"/>
    <xf numFmtId="0" fontId="8" fillId="0" borderId="1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0" fillId="0" borderId="0" xfId="0" applyAlignment="1">
      <alignment horizontal="center"/>
    </xf>
    <xf numFmtId="0" fontId="5" fillId="0" borderId="1" xfId="0" applyFont="1" applyFill="1" applyBorder="1"/>
    <xf numFmtId="49" fontId="8" fillId="0" borderId="1" xfId="0" applyNumberFormat="1" applyFont="1" applyFill="1" applyBorder="1"/>
    <xf numFmtId="2" fontId="5" fillId="0" borderId="3" xfId="1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/>
    </xf>
    <xf numFmtId="165" fontId="13" fillId="0" borderId="3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/>
    </xf>
    <xf numFmtId="2" fontId="5" fillId="0" borderId="3" xfId="0" applyNumberFormat="1" applyFont="1" applyFill="1" applyBorder="1" applyAlignment="1">
      <alignment horizontal="center" vertical="top"/>
    </xf>
    <xf numFmtId="2" fontId="5" fillId="0" borderId="3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/>
    </xf>
    <xf numFmtId="0" fontId="5" fillId="0" borderId="3" xfId="0" applyFont="1" applyFill="1" applyBorder="1"/>
    <xf numFmtId="2" fontId="2" fillId="0" borderId="3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/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center" vertical="center"/>
    </xf>
    <xf numFmtId="165" fontId="2" fillId="0" borderId="11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49" fontId="5" fillId="0" borderId="13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49" fontId="5" fillId="0" borderId="16" xfId="0" applyNumberFormat="1" applyFont="1" applyFill="1" applyBorder="1" applyAlignment="1">
      <alignment wrapText="1"/>
    </xf>
    <xf numFmtId="0" fontId="5" fillId="0" borderId="16" xfId="0" applyFont="1" applyFill="1" applyBorder="1" applyAlignment="1">
      <alignment horizontal="center" vertical="center"/>
    </xf>
    <xf numFmtId="166" fontId="5" fillId="0" borderId="17" xfId="0" applyNumberFormat="1" applyFont="1" applyFill="1" applyBorder="1" applyAlignment="1">
      <alignment horizontal="center" vertical="center"/>
    </xf>
    <xf numFmtId="166" fontId="5" fillId="0" borderId="3" xfId="0" applyNumberFormat="1" applyFont="1" applyFill="1" applyBorder="1" applyAlignment="1"/>
    <xf numFmtId="166" fontId="5" fillId="0" borderId="17" xfId="0" applyNumberFormat="1" applyFont="1" applyFill="1" applyBorder="1" applyAlignment="1"/>
    <xf numFmtId="49" fontId="8" fillId="0" borderId="0" xfId="0" applyNumberFormat="1" applyFont="1" applyFill="1"/>
    <xf numFmtId="0" fontId="0" fillId="0" borderId="0" xfId="0" applyFill="1" applyAlignment="1">
      <alignment horizontal="center"/>
    </xf>
    <xf numFmtId="0" fontId="7" fillId="0" borderId="0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center"/>
    </xf>
    <xf numFmtId="0" fontId="5" fillId="0" borderId="2" xfId="0" applyFont="1" applyFill="1" applyBorder="1"/>
    <xf numFmtId="49" fontId="11" fillId="0" borderId="2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/>
    <xf numFmtId="0" fontId="0" fillId="0" borderId="1" xfId="0" applyFill="1" applyBorder="1"/>
    <xf numFmtId="0" fontId="0" fillId="0" borderId="3" xfId="0" applyFill="1" applyBorder="1" applyAlignment="1">
      <alignment horizontal="center"/>
    </xf>
    <xf numFmtId="165" fontId="8" fillId="0" borderId="3" xfId="0" applyNumberFormat="1" applyFont="1" applyFill="1" applyBorder="1" applyAlignment="1">
      <alignment horizontal="center" vertical="center"/>
    </xf>
    <xf numFmtId="164" fontId="5" fillId="0" borderId="3" xfId="1" applyFont="1" applyFill="1" applyBorder="1" applyAlignment="1">
      <alignment horizontal="center" vertical="center"/>
    </xf>
    <xf numFmtId="49" fontId="0" fillId="0" borderId="1" xfId="0" applyNumberFormat="1" applyFill="1" applyBorder="1"/>
    <xf numFmtId="0" fontId="8" fillId="0" borderId="3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wrapText="1"/>
    </xf>
    <xf numFmtId="2" fontId="8" fillId="0" borderId="3" xfId="0" applyNumberFormat="1" applyFont="1" applyFill="1" applyBorder="1" applyAlignment="1">
      <alignment horizontal="center" vertical="center"/>
    </xf>
    <xf numFmtId="166" fontId="5" fillId="0" borderId="3" xfId="1" applyNumberFormat="1" applyFont="1" applyFill="1" applyBorder="1" applyAlignment="1">
      <alignment horizontal="center" vertical="center"/>
    </xf>
    <xf numFmtId="165" fontId="18" fillId="0" borderId="3" xfId="0" applyNumberFormat="1" applyFont="1" applyFill="1" applyBorder="1" applyAlignment="1">
      <alignment horizontal="center"/>
    </xf>
    <xf numFmtId="1" fontId="5" fillId="0" borderId="3" xfId="0" applyNumberFormat="1" applyFont="1" applyFill="1" applyBorder="1" applyAlignment="1">
      <alignment horizontal="center" vertical="center"/>
    </xf>
    <xf numFmtId="166" fontId="8" fillId="0" borderId="3" xfId="0" applyNumberFormat="1" applyFont="1" applyFill="1" applyBorder="1" applyAlignment="1">
      <alignment horizontal="center"/>
    </xf>
    <xf numFmtId="164" fontId="8" fillId="0" borderId="3" xfId="0" applyNumberFormat="1" applyFont="1" applyFill="1" applyBorder="1" applyAlignment="1">
      <alignment horizontal="center"/>
    </xf>
    <xf numFmtId="49" fontId="26" fillId="0" borderId="1" xfId="0" applyNumberFormat="1" applyFont="1" applyFill="1" applyBorder="1"/>
    <xf numFmtId="0" fontId="26" fillId="0" borderId="1" xfId="0" applyFont="1" applyFill="1" applyBorder="1" applyAlignment="1">
      <alignment horizontal="center" vertical="center"/>
    </xf>
    <xf numFmtId="164" fontId="26" fillId="0" borderId="3" xfId="1" applyFont="1" applyFill="1" applyBorder="1" applyAlignment="1">
      <alignment horizontal="center" vertical="center"/>
    </xf>
    <xf numFmtId="166" fontId="8" fillId="0" borderId="3" xfId="1" applyNumberFormat="1" applyFont="1" applyFill="1" applyBorder="1" applyAlignment="1">
      <alignment horizontal="center" vertical="center"/>
    </xf>
    <xf numFmtId="168" fontId="5" fillId="0" borderId="3" xfId="1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/>
    <xf numFmtId="164" fontId="2" fillId="0" borderId="3" xfId="1" applyFont="1" applyFill="1" applyBorder="1" applyAlignment="1">
      <alignment horizontal="center" vertical="center"/>
    </xf>
    <xf numFmtId="167" fontId="5" fillId="0" borderId="3" xfId="1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/>
    <xf numFmtId="166" fontId="2" fillId="0" borderId="3" xfId="1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0" fillId="0" borderId="2" xfId="0" applyFill="1" applyBorder="1"/>
    <xf numFmtId="0" fontId="23" fillId="0" borderId="1" xfId="0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49" fontId="25" fillId="0" borderId="2" xfId="0" applyNumberFormat="1" applyFont="1" applyFill="1" applyBorder="1"/>
    <xf numFmtId="49" fontId="4" fillId="0" borderId="1" xfId="0" applyNumberFormat="1" applyFont="1" applyFill="1" applyBorder="1"/>
    <xf numFmtId="49" fontId="5" fillId="0" borderId="2" xfId="0" applyNumberFormat="1" applyFont="1" applyFill="1" applyBorder="1"/>
    <xf numFmtId="49" fontId="5" fillId="0" borderId="2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164" fontId="8" fillId="0" borderId="3" xfId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vertical="top" wrapText="1"/>
    </xf>
    <xf numFmtId="165" fontId="8" fillId="0" borderId="3" xfId="1" applyNumberFormat="1" applyFont="1" applyFill="1" applyBorder="1" applyAlignment="1">
      <alignment horizontal="center" vertical="center"/>
    </xf>
    <xf numFmtId="165" fontId="5" fillId="0" borderId="3" xfId="1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/>
    <xf numFmtId="49" fontId="4" fillId="0" borderId="2" xfId="0" applyNumberFormat="1" applyFont="1" applyFill="1" applyBorder="1" applyAlignment="1">
      <alignment horizontal="center" vertical="center"/>
    </xf>
    <xf numFmtId="49" fontId="0" fillId="0" borderId="0" xfId="0" applyNumberFormat="1" applyFill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35"/>
  <sheetViews>
    <sheetView tabSelected="1" topLeftCell="A51" zoomScaleNormal="100" workbookViewId="0">
      <selection activeCell="D52" sqref="D52"/>
    </sheetView>
  </sheetViews>
  <sheetFormatPr defaultRowHeight="15" x14ac:dyDescent="0.25"/>
  <cols>
    <col min="1" max="1" width="10.140625" bestFit="1" customWidth="1"/>
    <col min="2" max="2" width="56.5703125" style="4" customWidth="1"/>
    <col min="3" max="3" width="11" customWidth="1"/>
    <col min="4" max="4" width="15" style="83" customWidth="1"/>
    <col min="7" max="7" width="11.85546875" bestFit="1" customWidth="1"/>
  </cols>
  <sheetData>
    <row r="1" spans="1:5" ht="15.75" x14ac:dyDescent="0.25">
      <c r="A1" s="2" t="s">
        <v>42</v>
      </c>
      <c r="B1" s="77"/>
    </row>
    <row r="2" spans="1:5" ht="15.75" x14ac:dyDescent="0.25">
      <c r="A2" s="2" t="s">
        <v>43</v>
      </c>
      <c r="B2" s="77"/>
    </row>
    <row r="3" spans="1:5" x14ac:dyDescent="0.25">
      <c r="B3" s="78"/>
    </row>
    <row r="4" spans="1:5" x14ac:dyDescent="0.25">
      <c r="A4" s="9" t="s">
        <v>1</v>
      </c>
      <c r="B4" s="78"/>
    </row>
    <row r="5" spans="1:5" x14ac:dyDescent="0.25">
      <c r="A5" s="9" t="s">
        <v>2</v>
      </c>
      <c r="B5" s="78"/>
    </row>
    <row r="6" spans="1:5" x14ac:dyDescent="0.25">
      <c r="A6" s="10" t="s">
        <v>45</v>
      </c>
      <c r="B6" s="78"/>
    </row>
    <row r="7" spans="1:5" x14ac:dyDescent="0.25">
      <c r="B7" s="78"/>
    </row>
    <row r="8" spans="1:5" s="1" customFormat="1" ht="15.75" x14ac:dyDescent="0.25">
      <c r="A8" s="8" t="s">
        <v>44</v>
      </c>
      <c r="B8" s="78"/>
      <c r="D8" s="93"/>
    </row>
    <row r="9" spans="1:5" s="1" customFormat="1" x14ac:dyDescent="0.25">
      <c r="A9" s="89"/>
      <c r="B9" s="125"/>
      <c r="C9" s="89"/>
      <c r="D9" s="126"/>
    </row>
    <row r="10" spans="1:5" s="1" customFormat="1" ht="18" x14ac:dyDescent="0.25">
      <c r="A10" s="127" t="s">
        <v>0</v>
      </c>
      <c r="B10" s="125"/>
      <c r="C10" s="89"/>
      <c r="D10" s="126"/>
    </row>
    <row r="11" spans="1:5" ht="15.75" thickBot="1" x14ac:dyDescent="0.3">
      <c r="A11" s="89"/>
      <c r="B11" s="125"/>
      <c r="C11" s="89"/>
      <c r="D11" s="126"/>
    </row>
    <row r="12" spans="1:5" ht="15.75" thickBot="1" x14ac:dyDescent="0.3">
      <c r="A12" s="115" t="s">
        <v>3</v>
      </c>
      <c r="B12" s="116" t="s">
        <v>4</v>
      </c>
      <c r="C12" s="117" t="s">
        <v>5</v>
      </c>
      <c r="D12" s="118" t="s">
        <v>9</v>
      </c>
    </row>
    <row r="13" spans="1:5" ht="18.75" x14ac:dyDescent="0.25">
      <c r="A13" s="111">
        <v>1</v>
      </c>
      <c r="B13" s="112" t="s">
        <v>12</v>
      </c>
      <c r="C13" s="113"/>
      <c r="D13" s="114"/>
    </row>
    <row r="14" spans="1:5" x14ac:dyDescent="0.25">
      <c r="A14" s="5"/>
      <c r="B14" s="95" t="s">
        <v>119</v>
      </c>
      <c r="C14" s="3"/>
      <c r="D14" s="97"/>
    </row>
    <row r="15" spans="1:5" s="1" customFormat="1" ht="120" x14ac:dyDescent="0.25">
      <c r="A15" s="91" t="s">
        <v>13</v>
      </c>
      <c r="B15" s="75" t="s">
        <v>283</v>
      </c>
      <c r="C15" s="11" t="s">
        <v>46</v>
      </c>
      <c r="D15" s="98">
        <f>(0.8+0.75)*763.32</f>
        <v>1183.1460000000002</v>
      </c>
      <c r="E15" s="89"/>
    </row>
    <row r="16" spans="1:5" s="1" customFormat="1" ht="30" x14ac:dyDescent="0.25">
      <c r="A16" s="91" t="s">
        <v>14</v>
      </c>
      <c r="B16" s="79" t="s">
        <v>211</v>
      </c>
      <c r="C16" s="11" t="s">
        <v>7</v>
      </c>
      <c r="D16" s="98">
        <f>764+765</f>
        <v>1529</v>
      </c>
    </row>
    <row r="17" spans="1:6" s="1" customFormat="1" ht="30" x14ac:dyDescent="0.25">
      <c r="A17" s="91" t="s">
        <v>15</v>
      </c>
      <c r="B17" s="79" t="s">
        <v>117</v>
      </c>
      <c r="C17" s="11" t="s">
        <v>20</v>
      </c>
      <c r="D17" s="98">
        <v>1</v>
      </c>
    </row>
    <row r="18" spans="1:6" s="1" customFormat="1" x14ac:dyDescent="0.25">
      <c r="A18" s="91" t="s">
        <v>101</v>
      </c>
      <c r="B18" s="80" t="s">
        <v>102</v>
      </c>
      <c r="C18" s="11" t="s">
        <v>7</v>
      </c>
      <c r="D18" s="98">
        <v>6</v>
      </c>
    </row>
    <row r="19" spans="1:6" s="1" customFormat="1" ht="45" x14ac:dyDescent="0.25">
      <c r="A19" s="91" t="s">
        <v>103</v>
      </c>
      <c r="B19" s="79" t="s">
        <v>104</v>
      </c>
      <c r="C19" s="11" t="s">
        <v>46</v>
      </c>
      <c r="D19" s="14">
        <v>1.4</v>
      </c>
    </row>
    <row r="20" spans="1:6" s="1" customFormat="1" ht="30" x14ac:dyDescent="0.25">
      <c r="A20" s="91" t="s">
        <v>105</v>
      </c>
      <c r="B20" s="79" t="s">
        <v>224</v>
      </c>
      <c r="C20" s="11" t="s">
        <v>116</v>
      </c>
      <c r="D20" s="98">
        <v>2.8</v>
      </c>
    </row>
    <row r="21" spans="1:6" s="1" customFormat="1" ht="85.5" customHeight="1" x14ac:dyDescent="0.25">
      <c r="A21" s="91" t="s">
        <v>106</v>
      </c>
      <c r="B21" s="79" t="s">
        <v>273</v>
      </c>
      <c r="C21" s="11"/>
      <c r="D21" s="98"/>
    </row>
    <row r="22" spans="1:6" s="1" customFormat="1" x14ac:dyDescent="0.25">
      <c r="A22" s="91" t="s">
        <v>107</v>
      </c>
      <c r="B22" s="74" t="s">
        <v>108</v>
      </c>
      <c r="C22" s="11" t="s">
        <v>20</v>
      </c>
      <c r="D22" s="98">
        <v>400</v>
      </c>
    </row>
    <row r="23" spans="1:6" s="1" customFormat="1" x14ac:dyDescent="0.25">
      <c r="A23" s="91" t="s">
        <v>109</v>
      </c>
      <c r="B23" s="74" t="s">
        <v>110</v>
      </c>
      <c r="C23" s="11" t="s">
        <v>20</v>
      </c>
      <c r="D23" s="98">
        <v>200</v>
      </c>
    </row>
    <row r="24" spans="1:6" s="1" customFormat="1" x14ac:dyDescent="0.25">
      <c r="A24" s="91" t="s">
        <v>111</v>
      </c>
      <c r="B24" s="74" t="s">
        <v>112</v>
      </c>
      <c r="C24" s="11" t="s">
        <v>20</v>
      </c>
      <c r="D24" s="98">
        <v>67</v>
      </c>
    </row>
    <row r="25" spans="1:6" s="1" customFormat="1" x14ac:dyDescent="0.25">
      <c r="A25" s="91" t="s">
        <v>113</v>
      </c>
      <c r="B25" s="74" t="s">
        <v>114</v>
      </c>
      <c r="C25" s="11" t="s">
        <v>20</v>
      </c>
      <c r="D25" s="98">
        <v>2</v>
      </c>
      <c r="F25" s="92"/>
    </row>
    <row r="26" spans="1:6" s="1" customFormat="1" ht="45" x14ac:dyDescent="0.25">
      <c r="A26" s="91"/>
      <c r="B26" s="75" t="s">
        <v>118</v>
      </c>
      <c r="C26" s="11"/>
      <c r="D26" s="98"/>
      <c r="F26" s="92"/>
    </row>
    <row r="27" spans="1:6" s="1" customFormat="1" ht="42" customHeight="1" x14ac:dyDescent="0.25">
      <c r="A27" s="91" t="s">
        <v>115</v>
      </c>
      <c r="B27" s="81" t="s">
        <v>237</v>
      </c>
      <c r="C27" s="11" t="s">
        <v>116</v>
      </c>
      <c r="D27" s="98">
        <f>5370*0.4</f>
        <v>2148</v>
      </c>
    </row>
    <row r="28" spans="1:6" s="1" customFormat="1" x14ac:dyDescent="0.25">
      <c r="A28" s="99"/>
      <c r="B28" s="86"/>
      <c r="C28" s="84"/>
      <c r="D28" s="100"/>
    </row>
    <row r="29" spans="1:6" ht="17.25" x14ac:dyDescent="0.25">
      <c r="A29" s="101" t="s">
        <v>225</v>
      </c>
      <c r="B29" s="95" t="s">
        <v>125</v>
      </c>
      <c r="C29" s="90" t="s">
        <v>99</v>
      </c>
      <c r="D29" s="98">
        <f>SUM(D30:D34)</f>
        <v>766.31080000000009</v>
      </c>
    </row>
    <row r="30" spans="1:6" s="1" customFormat="1" ht="17.25" x14ac:dyDescent="0.25">
      <c r="A30" s="101" t="s">
        <v>139</v>
      </c>
      <c r="B30" s="74" t="s">
        <v>120</v>
      </c>
      <c r="C30" s="11" t="s">
        <v>46</v>
      </c>
      <c r="D30" s="102">
        <f>0.99*763.32</f>
        <v>755.68680000000006</v>
      </c>
      <c r="E30" s="89"/>
    </row>
    <row r="31" spans="1:6" x14ac:dyDescent="0.25">
      <c r="A31" s="101"/>
      <c r="B31" s="80" t="s">
        <v>50</v>
      </c>
      <c r="C31" s="11"/>
      <c r="D31" s="128"/>
    </row>
    <row r="32" spans="1:6" s="1" customFormat="1" x14ac:dyDescent="0.25">
      <c r="A32" s="101" t="s">
        <v>140</v>
      </c>
      <c r="B32" s="74" t="s">
        <v>263</v>
      </c>
      <c r="C32" s="11"/>
      <c r="D32" s="14"/>
    </row>
    <row r="33" spans="1:14" s="1" customFormat="1" ht="17.25" x14ac:dyDescent="0.25">
      <c r="A33" s="101"/>
      <c r="B33" s="74" t="s">
        <v>156</v>
      </c>
      <c r="C33" s="11" t="s">
        <v>46</v>
      </c>
      <c r="D33" s="98">
        <f>4 * 6.4 *0.2</f>
        <v>5.120000000000001</v>
      </c>
    </row>
    <row r="34" spans="1:14" s="1" customFormat="1" ht="17.25" x14ac:dyDescent="0.25">
      <c r="A34" s="101"/>
      <c r="B34" s="74" t="s">
        <v>170</v>
      </c>
      <c r="C34" s="11" t="s">
        <v>46</v>
      </c>
      <c r="D34" s="98">
        <f xml:space="preserve">  4.3 * 6.4 *0.2</f>
        <v>5.5040000000000004</v>
      </c>
    </row>
    <row r="35" spans="1:14" s="1" customFormat="1" x14ac:dyDescent="0.25">
      <c r="A35" s="129"/>
      <c r="B35" s="94"/>
      <c r="C35" s="94"/>
      <c r="D35" s="128"/>
    </row>
    <row r="36" spans="1:14" ht="18.75" x14ac:dyDescent="0.3">
      <c r="A36" s="130">
        <v>2</v>
      </c>
      <c r="B36" s="131" t="s">
        <v>6</v>
      </c>
      <c r="C36" s="3"/>
      <c r="D36" s="97"/>
    </row>
    <row r="37" spans="1:14" s="1" customFormat="1" x14ac:dyDescent="0.25">
      <c r="A37" s="13"/>
      <c r="B37" s="95" t="s">
        <v>47</v>
      </c>
      <c r="C37" s="3"/>
      <c r="D37" s="97"/>
    </row>
    <row r="38" spans="1:14" s="1" customFormat="1" x14ac:dyDescent="0.25">
      <c r="A38" s="13" t="s">
        <v>10</v>
      </c>
      <c r="B38" s="95" t="s">
        <v>256</v>
      </c>
      <c r="C38" s="132"/>
      <c r="D38" s="133"/>
    </row>
    <row r="39" spans="1:14" s="1" customFormat="1" ht="17.25" x14ac:dyDescent="0.25">
      <c r="A39" s="13" t="s">
        <v>122</v>
      </c>
      <c r="B39" s="95" t="s">
        <v>126</v>
      </c>
      <c r="C39" s="90" t="s">
        <v>99</v>
      </c>
      <c r="D39" s="134">
        <f>SUM(D40:D41)</f>
        <v>2797.1856000000002</v>
      </c>
      <c r="G39" s="76"/>
    </row>
    <row r="40" spans="1:14" s="1" customFormat="1" ht="30" x14ac:dyDescent="0.25">
      <c r="A40" s="13"/>
      <c r="B40" s="75" t="s">
        <v>121</v>
      </c>
      <c r="C40" s="11" t="s">
        <v>46</v>
      </c>
      <c r="D40" s="135">
        <f>(1.6+1.98)*763.32</f>
        <v>2732.6856000000002</v>
      </c>
    </row>
    <row r="41" spans="1:14" s="1" customFormat="1" ht="45" x14ac:dyDescent="0.25">
      <c r="A41" s="13"/>
      <c r="B41" s="75" t="s">
        <v>217</v>
      </c>
      <c r="C41" s="11" t="s">
        <v>46</v>
      </c>
      <c r="D41" s="14">
        <v>64.5</v>
      </c>
    </row>
    <row r="42" spans="1:14" x14ac:dyDescent="0.25">
      <c r="A42" s="5"/>
      <c r="B42" s="136"/>
      <c r="C42" s="132"/>
      <c r="D42" s="133"/>
      <c r="H42" s="12"/>
      <c r="I42" s="1"/>
      <c r="J42" s="1"/>
      <c r="K42" s="1"/>
      <c r="L42" s="1"/>
      <c r="M42" s="1"/>
      <c r="N42" s="1"/>
    </row>
    <row r="43" spans="1:14" s="1" customFormat="1" x14ac:dyDescent="0.25">
      <c r="A43" s="13" t="s">
        <v>123</v>
      </c>
      <c r="B43" s="95" t="s">
        <v>255</v>
      </c>
      <c r="C43" s="94"/>
      <c r="D43" s="128"/>
      <c r="H43" s="12"/>
    </row>
    <row r="44" spans="1:14" s="1" customFormat="1" ht="30" x14ac:dyDescent="0.25">
      <c r="A44" s="91"/>
      <c r="B44" s="75" t="s">
        <v>270</v>
      </c>
      <c r="C44" s="90" t="s">
        <v>99</v>
      </c>
      <c r="D44" s="137">
        <f>2.52*2.5*13</f>
        <v>81.899999999999991</v>
      </c>
    </row>
    <row r="45" spans="1:14" s="1" customFormat="1" ht="30" x14ac:dyDescent="0.25">
      <c r="A45" s="5"/>
      <c r="B45" s="138" t="s">
        <v>124</v>
      </c>
      <c r="C45" s="132"/>
      <c r="D45" s="133"/>
      <c r="F45" s="12"/>
    </row>
    <row r="46" spans="1:14" s="1" customFormat="1" x14ac:dyDescent="0.25">
      <c r="A46" s="5"/>
      <c r="B46" s="138"/>
      <c r="C46" s="132"/>
      <c r="D46" s="133"/>
      <c r="F46" s="12"/>
    </row>
    <row r="47" spans="1:14" ht="17.25" x14ac:dyDescent="0.25">
      <c r="A47" s="13" t="s">
        <v>11</v>
      </c>
      <c r="B47" s="95" t="s">
        <v>200</v>
      </c>
      <c r="C47" s="90" t="s">
        <v>99</v>
      </c>
      <c r="D47" s="134">
        <f>SUM(D48:D52)</f>
        <v>1031.4423999999999</v>
      </c>
      <c r="F47" s="89"/>
      <c r="G47" s="89"/>
      <c r="H47" s="89"/>
      <c r="I47" s="89"/>
      <c r="J47" s="89"/>
      <c r="K47" s="89"/>
    </row>
    <row r="48" spans="1:14" ht="17.25" x14ac:dyDescent="0.25">
      <c r="A48" s="91"/>
      <c r="B48" s="74" t="s">
        <v>127</v>
      </c>
      <c r="C48" s="11" t="s">
        <v>46</v>
      </c>
      <c r="D48" s="98">
        <f>(0.6+0.72)*763.32</f>
        <v>1007.5823999999999</v>
      </c>
      <c r="F48" s="89"/>
      <c r="G48" s="89"/>
      <c r="H48" s="89"/>
      <c r="I48" s="89"/>
      <c r="J48" s="89"/>
      <c r="K48" s="89"/>
    </row>
    <row r="49" spans="1:13" s="1" customFormat="1" ht="17.25" x14ac:dyDescent="0.25">
      <c r="A49" s="91"/>
      <c r="B49" s="74" t="s">
        <v>202</v>
      </c>
      <c r="C49" s="11" t="s">
        <v>46</v>
      </c>
      <c r="D49" s="14">
        <f>0.6*16.6</f>
        <v>9.9600000000000009</v>
      </c>
    </row>
    <row r="50" spans="1:13" s="1" customFormat="1" ht="30" x14ac:dyDescent="0.25">
      <c r="A50" s="91"/>
      <c r="B50" s="75" t="s">
        <v>201</v>
      </c>
      <c r="C50" s="11" t="s">
        <v>46</v>
      </c>
      <c r="D50" s="14">
        <v>3.6</v>
      </c>
    </row>
    <row r="51" spans="1:13" s="1" customFormat="1" ht="32.25" x14ac:dyDescent="0.25">
      <c r="A51" s="91"/>
      <c r="B51" s="75" t="s">
        <v>203</v>
      </c>
      <c r="C51" s="11" t="s">
        <v>46</v>
      </c>
      <c r="D51" s="14">
        <v>10.3</v>
      </c>
    </row>
    <row r="52" spans="1:13" s="1" customFormat="1" x14ac:dyDescent="0.25">
      <c r="A52" s="91"/>
      <c r="B52" s="75"/>
      <c r="C52" s="11"/>
      <c r="D52" s="103"/>
    </row>
    <row r="53" spans="1:13" s="1" customFormat="1" x14ac:dyDescent="0.25">
      <c r="A53" s="91"/>
      <c r="B53" s="74"/>
      <c r="C53" s="11"/>
      <c r="D53" s="14"/>
    </row>
    <row r="54" spans="1:13" ht="45" x14ac:dyDescent="0.25">
      <c r="A54" s="13" t="s">
        <v>18</v>
      </c>
      <c r="B54" s="82" t="s">
        <v>204</v>
      </c>
      <c r="C54" s="90" t="s">
        <v>99</v>
      </c>
      <c r="D54" s="134">
        <f>SUM(D55:D60)</f>
        <v>1219.0128</v>
      </c>
      <c r="G54" s="35"/>
      <c r="H54" s="35"/>
      <c r="I54" s="35"/>
      <c r="J54" s="35"/>
      <c r="K54" s="35"/>
      <c r="L54" s="35"/>
      <c r="M54" s="35"/>
    </row>
    <row r="55" spans="1:13" ht="17.25" x14ac:dyDescent="0.25">
      <c r="A55" s="91"/>
      <c r="B55" s="74" t="s">
        <v>278</v>
      </c>
      <c r="C55" s="11" t="s">
        <v>46</v>
      </c>
      <c r="D55" s="98">
        <f>2*0.77*763.32</f>
        <v>1175.5128000000002</v>
      </c>
      <c r="G55" s="35"/>
      <c r="H55" s="35"/>
      <c r="I55" s="35"/>
      <c r="J55" s="35"/>
      <c r="K55" s="35"/>
      <c r="L55" s="35"/>
      <c r="M55" s="35"/>
    </row>
    <row r="56" spans="1:13" s="1" customFormat="1" x14ac:dyDescent="0.25">
      <c r="A56" s="91"/>
      <c r="B56" s="74"/>
      <c r="C56" s="11"/>
      <c r="D56" s="98"/>
      <c r="G56" s="35"/>
      <c r="H56" s="35"/>
      <c r="I56" s="35"/>
      <c r="J56" s="35"/>
      <c r="K56" s="35"/>
      <c r="L56" s="35"/>
      <c r="M56" s="35"/>
    </row>
    <row r="57" spans="1:13" s="1" customFormat="1" ht="17.25" x14ac:dyDescent="0.25">
      <c r="A57" s="91"/>
      <c r="B57" s="74" t="s">
        <v>130</v>
      </c>
      <c r="C57" s="11" t="s">
        <v>46</v>
      </c>
      <c r="D57" s="14">
        <v>10</v>
      </c>
      <c r="G57" s="85"/>
      <c r="H57" s="85"/>
      <c r="I57" s="85"/>
      <c r="J57" s="35"/>
      <c r="K57" s="35"/>
      <c r="L57" s="35"/>
      <c r="M57" s="35"/>
    </row>
    <row r="58" spans="1:13" s="1" customFormat="1" ht="17.25" x14ac:dyDescent="0.25">
      <c r="A58" s="91"/>
      <c r="B58" s="74" t="s">
        <v>205</v>
      </c>
      <c r="C58" s="11" t="s">
        <v>46</v>
      </c>
      <c r="D58" s="14">
        <v>3.6</v>
      </c>
      <c r="G58" s="85"/>
      <c r="H58" s="85"/>
      <c r="I58" s="85"/>
      <c r="J58" s="35"/>
      <c r="K58" s="35"/>
      <c r="L58" s="35"/>
      <c r="M58" s="35"/>
    </row>
    <row r="59" spans="1:13" s="1" customFormat="1" ht="17.25" x14ac:dyDescent="0.25">
      <c r="A59" s="91"/>
      <c r="B59" s="74" t="s">
        <v>206</v>
      </c>
      <c r="C59" s="11" t="s">
        <v>46</v>
      </c>
      <c r="D59" s="14">
        <v>9.1</v>
      </c>
      <c r="J59" s="35"/>
      <c r="K59" s="35"/>
      <c r="L59" s="35"/>
      <c r="M59" s="35"/>
    </row>
    <row r="60" spans="1:13" s="1" customFormat="1" ht="30" x14ac:dyDescent="0.25">
      <c r="A60" s="91"/>
      <c r="B60" s="75" t="s">
        <v>212</v>
      </c>
      <c r="C60" s="11" t="s">
        <v>46</v>
      </c>
      <c r="D60" s="14">
        <f>0.5*3.2*13</f>
        <v>20.8</v>
      </c>
      <c r="G60" s="35"/>
      <c r="H60" s="35"/>
      <c r="I60" s="35"/>
      <c r="J60" s="35"/>
      <c r="K60" s="35"/>
      <c r="L60" s="35"/>
      <c r="M60" s="35"/>
    </row>
    <row r="61" spans="1:13" s="1" customFormat="1" x14ac:dyDescent="0.25">
      <c r="A61" s="91"/>
      <c r="B61" s="74" t="s">
        <v>272</v>
      </c>
      <c r="C61" s="11"/>
      <c r="D61" s="14"/>
      <c r="G61" s="35"/>
      <c r="H61" s="35"/>
      <c r="I61" s="35"/>
      <c r="J61" s="35"/>
      <c r="K61" s="35"/>
      <c r="L61" s="35"/>
      <c r="M61" s="35"/>
    </row>
    <row r="62" spans="1:13" s="1" customFormat="1" x14ac:dyDescent="0.25">
      <c r="A62" s="91"/>
      <c r="B62" s="74"/>
      <c r="C62" s="11"/>
      <c r="D62" s="14"/>
      <c r="G62" s="35"/>
      <c r="H62" s="35"/>
      <c r="I62" s="35"/>
      <c r="J62" s="35"/>
      <c r="K62" s="35"/>
      <c r="L62" s="35"/>
      <c r="M62" s="35"/>
    </row>
    <row r="63" spans="1:13" ht="17.25" x14ac:dyDescent="0.25">
      <c r="A63" s="13" t="s">
        <v>21</v>
      </c>
      <c r="B63" s="95" t="s">
        <v>49</v>
      </c>
      <c r="C63" s="90" t="s">
        <v>99</v>
      </c>
      <c r="D63" s="139">
        <f>SUM(D64:D67)</f>
        <v>1313.7860000000001</v>
      </c>
      <c r="G63" s="35"/>
      <c r="H63" s="35"/>
      <c r="I63" s="35"/>
      <c r="J63" s="35"/>
      <c r="K63" s="35"/>
      <c r="L63" s="35"/>
      <c r="M63" s="35"/>
    </row>
    <row r="64" spans="1:13" ht="17.25" x14ac:dyDescent="0.25">
      <c r="A64" s="91"/>
      <c r="B64" s="74" t="s">
        <v>261</v>
      </c>
      <c r="C64" s="11" t="s">
        <v>46</v>
      </c>
      <c r="D64" s="103">
        <f>(0.75+0.85)*763.63</f>
        <v>1221.808</v>
      </c>
      <c r="G64" s="35"/>
      <c r="H64" s="35"/>
      <c r="I64" s="35"/>
      <c r="J64" s="35"/>
      <c r="K64" s="35"/>
      <c r="L64" s="35"/>
      <c r="M64" s="35"/>
    </row>
    <row r="65" spans="1:13" s="1" customFormat="1" ht="17.25" x14ac:dyDescent="0.25">
      <c r="A65" s="91"/>
      <c r="B65" s="74" t="s">
        <v>213</v>
      </c>
      <c r="C65" s="11" t="s">
        <v>46</v>
      </c>
      <c r="D65" s="14">
        <v>25</v>
      </c>
      <c r="G65" s="35"/>
      <c r="H65" s="35"/>
      <c r="I65" s="35"/>
      <c r="J65" s="35"/>
      <c r="K65" s="35"/>
      <c r="L65" s="35"/>
      <c r="M65" s="35"/>
    </row>
    <row r="66" spans="1:13" s="1" customFormat="1" ht="17.25" x14ac:dyDescent="0.25">
      <c r="A66" s="91"/>
      <c r="B66" s="74" t="s">
        <v>207</v>
      </c>
      <c r="C66" s="11" t="s">
        <v>46</v>
      </c>
      <c r="D66" s="103">
        <v>4.5</v>
      </c>
      <c r="G66" s="35"/>
      <c r="H66" s="35"/>
      <c r="I66" s="35"/>
      <c r="J66" s="35"/>
      <c r="K66" s="35"/>
      <c r="L66" s="35"/>
      <c r="M66" s="35"/>
    </row>
    <row r="67" spans="1:13" s="1" customFormat="1" ht="30" x14ac:dyDescent="0.25">
      <c r="A67" s="91"/>
      <c r="B67" s="75" t="s">
        <v>271</v>
      </c>
      <c r="C67" s="11" t="s">
        <v>46</v>
      </c>
      <c r="D67" s="14">
        <f>1.78*2.7*13</f>
        <v>62.478000000000002</v>
      </c>
      <c r="G67" s="35"/>
      <c r="H67" s="35"/>
      <c r="I67" s="35"/>
      <c r="J67" s="35"/>
      <c r="K67" s="35"/>
      <c r="L67" s="35"/>
      <c r="M67" s="35"/>
    </row>
    <row r="68" spans="1:13" s="1" customFormat="1" x14ac:dyDescent="0.25">
      <c r="A68" s="91"/>
      <c r="B68" s="74"/>
      <c r="C68" s="11"/>
      <c r="D68" s="14"/>
      <c r="G68" s="35"/>
      <c r="H68" s="35"/>
      <c r="I68" s="35"/>
      <c r="J68" s="35"/>
      <c r="K68" s="35"/>
      <c r="L68" s="35"/>
      <c r="M68" s="35"/>
    </row>
    <row r="69" spans="1:13" s="1" customFormat="1" ht="30" x14ac:dyDescent="0.25">
      <c r="A69" s="13" t="s">
        <v>22</v>
      </c>
      <c r="B69" s="82" t="s">
        <v>214</v>
      </c>
      <c r="C69" s="90" t="s">
        <v>99</v>
      </c>
      <c r="D69" s="139">
        <f>0.3*1.8*13</f>
        <v>7.0200000000000005</v>
      </c>
      <c r="G69" s="35"/>
      <c r="H69" s="35"/>
      <c r="I69" s="35"/>
      <c r="J69" s="35"/>
      <c r="K69" s="35"/>
      <c r="L69" s="35"/>
      <c r="M69" s="35"/>
    </row>
    <row r="70" spans="1:13" s="1" customFormat="1" x14ac:dyDescent="0.25">
      <c r="A70" s="91"/>
      <c r="B70" s="74" t="s">
        <v>215</v>
      </c>
      <c r="C70" s="11"/>
      <c r="D70" s="14"/>
      <c r="G70" s="35"/>
      <c r="H70" s="35"/>
      <c r="I70" s="35"/>
      <c r="J70" s="35"/>
      <c r="K70" s="35"/>
      <c r="L70" s="35"/>
      <c r="M70" s="35"/>
    </row>
    <row r="71" spans="1:13" s="1" customFormat="1" x14ac:dyDescent="0.25">
      <c r="A71" s="91"/>
      <c r="B71" s="74"/>
      <c r="C71" s="11"/>
      <c r="D71" s="14"/>
      <c r="G71" s="35"/>
      <c r="H71" s="35"/>
      <c r="I71" s="35"/>
      <c r="J71" s="35"/>
      <c r="K71" s="35"/>
      <c r="L71" s="35"/>
      <c r="M71" s="35"/>
    </row>
    <row r="72" spans="1:13" x14ac:dyDescent="0.25">
      <c r="A72" s="91"/>
      <c r="B72" s="74" t="s">
        <v>6</v>
      </c>
      <c r="C72" s="11"/>
      <c r="D72" s="14"/>
    </row>
    <row r="73" spans="1:13" x14ac:dyDescent="0.25">
      <c r="A73" s="91"/>
      <c r="B73" s="95" t="s">
        <v>48</v>
      </c>
      <c r="C73" s="11"/>
      <c r="D73" s="98"/>
    </row>
    <row r="74" spans="1:13" s="1" customFormat="1" x14ac:dyDescent="0.25">
      <c r="A74" s="91" t="s">
        <v>23</v>
      </c>
      <c r="B74" s="95" t="s">
        <v>8</v>
      </c>
      <c r="C74" s="90" t="s">
        <v>17</v>
      </c>
      <c r="D74" s="134">
        <f>SUM(D75:D82)</f>
        <v>6200.8452000000007</v>
      </c>
    </row>
    <row r="75" spans="1:13" s="1" customFormat="1" ht="30" x14ac:dyDescent="0.25">
      <c r="A75" s="91" t="s">
        <v>131</v>
      </c>
      <c r="B75" s="75" t="s">
        <v>265</v>
      </c>
      <c r="C75" s="11" t="s">
        <v>46</v>
      </c>
      <c r="D75" s="140">
        <f>7.54*763.32</f>
        <v>5755.4328000000005</v>
      </c>
    </row>
    <row r="76" spans="1:13" s="1" customFormat="1" ht="30" x14ac:dyDescent="0.25">
      <c r="A76" s="91" t="s">
        <v>132</v>
      </c>
      <c r="B76" s="75" t="s">
        <v>216</v>
      </c>
      <c r="C76" s="11" t="s">
        <v>46</v>
      </c>
      <c r="D76" s="140">
        <f>(0.6+0.5)*3.55*13</f>
        <v>50.765000000000001</v>
      </c>
    </row>
    <row r="77" spans="1:13" s="1" customFormat="1" ht="17.25" x14ac:dyDescent="0.25">
      <c r="A77" s="91" t="s">
        <v>133</v>
      </c>
      <c r="B77" s="74" t="s">
        <v>134</v>
      </c>
      <c r="C77" s="11" t="s">
        <v>46</v>
      </c>
      <c r="D77" s="98">
        <f>sjezd_11!D40</f>
        <v>115.25490000000001</v>
      </c>
    </row>
    <row r="78" spans="1:13" s="1" customFormat="1" ht="17.25" x14ac:dyDescent="0.25">
      <c r="A78" s="91" t="s">
        <v>135</v>
      </c>
      <c r="B78" s="74" t="s">
        <v>136</v>
      </c>
      <c r="C78" s="11" t="s">
        <v>46</v>
      </c>
      <c r="D78" s="103">
        <f>'dočasný sjezd'!E33</f>
        <v>263.95249999999999</v>
      </c>
    </row>
    <row r="79" spans="1:13" s="1" customFormat="1" x14ac:dyDescent="0.25">
      <c r="A79" s="91"/>
      <c r="B79" s="74" t="s">
        <v>96</v>
      </c>
      <c r="C79" s="11"/>
      <c r="D79" s="14"/>
    </row>
    <row r="80" spans="1:13" s="1" customFormat="1" x14ac:dyDescent="0.25">
      <c r="A80" s="91" t="s">
        <v>137</v>
      </c>
      <c r="B80" s="74" t="s">
        <v>138</v>
      </c>
      <c r="C80" s="11"/>
      <c r="D80" s="14"/>
    </row>
    <row r="81" spans="1:4" s="1" customFormat="1" ht="17.25" x14ac:dyDescent="0.25">
      <c r="A81" s="91"/>
      <c r="B81" s="74" t="s">
        <v>208</v>
      </c>
      <c r="C81" s="11" t="s">
        <v>46</v>
      </c>
      <c r="D81" s="98">
        <v>10.24</v>
      </c>
    </row>
    <row r="82" spans="1:4" s="1" customFormat="1" ht="17.25" x14ac:dyDescent="0.25">
      <c r="A82" s="91"/>
      <c r="B82" s="74" t="s">
        <v>164</v>
      </c>
      <c r="C82" s="11" t="s">
        <v>46</v>
      </c>
      <c r="D82" s="14">
        <v>5.2</v>
      </c>
    </row>
    <row r="83" spans="1:4" s="1" customFormat="1" x14ac:dyDescent="0.25">
      <c r="A83" s="5"/>
      <c r="B83" s="74"/>
      <c r="C83" s="3"/>
      <c r="D83" s="6"/>
    </row>
    <row r="84" spans="1:4" ht="45" x14ac:dyDescent="0.25">
      <c r="A84" s="13" t="s">
        <v>26</v>
      </c>
      <c r="B84" s="82" t="s">
        <v>218</v>
      </c>
      <c r="C84" s="90" t="s">
        <v>99</v>
      </c>
      <c r="D84" s="141">
        <f>D85+D86</f>
        <v>244.41420000000039</v>
      </c>
    </row>
    <row r="85" spans="1:4" ht="60" x14ac:dyDescent="0.25">
      <c r="A85" s="5"/>
      <c r="B85" s="75" t="s">
        <v>277</v>
      </c>
      <c r="C85" s="3"/>
      <c r="D85" s="98">
        <f>2.45*763.32*1.3-2206</f>
        <v>225.17420000000038</v>
      </c>
    </row>
    <row r="86" spans="1:4" s="1" customFormat="1" x14ac:dyDescent="0.25">
      <c r="A86" s="5"/>
      <c r="B86" s="74" t="s">
        <v>97</v>
      </c>
      <c r="C86" s="3"/>
      <c r="D86" s="98">
        <f>sjezd_11!J40*1.3</f>
        <v>19.240000000000002</v>
      </c>
    </row>
    <row r="87" spans="1:4" s="1" customFormat="1" x14ac:dyDescent="0.25">
      <c r="A87" s="5"/>
      <c r="B87" s="74"/>
      <c r="C87" s="3"/>
      <c r="D87" s="6"/>
    </row>
    <row r="88" spans="1:4" ht="17.25" x14ac:dyDescent="0.25">
      <c r="A88" s="13" t="s">
        <v>33</v>
      </c>
      <c r="B88" s="95" t="s">
        <v>209</v>
      </c>
      <c r="C88" s="90" t="s">
        <v>99</v>
      </c>
      <c r="D88" s="141">
        <f>SUM(D89:D91)</f>
        <v>4564.5915000000005</v>
      </c>
    </row>
    <row r="89" spans="1:4" ht="17.25" x14ac:dyDescent="0.25">
      <c r="A89" s="5"/>
      <c r="B89" s="74" t="s">
        <v>219</v>
      </c>
      <c r="C89" s="90" t="s">
        <v>99</v>
      </c>
      <c r="D89" s="98">
        <f>5.95*763.32</f>
        <v>4541.7540000000008</v>
      </c>
    </row>
    <row r="90" spans="1:4" s="1" customFormat="1" ht="17.25" x14ac:dyDescent="0.25">
      <c r="A90" s="5"/>
      <c r="B90" s="74" t="s">
        <v>239</v>
      </c>
      <c r="C90" s="90" t="s">
        <v>99</v>
      </c>
      <c r="D90" s="142">
        <f>3.5*12.5*0.15</f>
        <v>6.5625</v>
      </c>
    </row>
    <row r="91" spans="1:4" s="1" customFormat="1" ht="17.25" x14ac:dyDescent="0.25">
      <c r="A91" s="5"/>
      <c r="B91" s="74" t="s">
        <v>238</v>
      </c>
      <c r="C91" s="90" t="s">
        <v>99</v>
      </c>
      <c r="D91" s="98">
        <f>31*3.5*0.15</f>
        <v>16.274999999999999</v>
      </c>
    </row>
    <row r="92" spans="1:4" s="1" customFormat="1" x14ac:dyDescent="0.25">
      <c r="A92" s="5"/>
      <c r="B92" s="74"/>
      <c r="C92" s="3"/>
      <c r="D92" s="6"/>
    </row>
    <row r="93" spans="1:4" ht="17.25" x14ac:dyDescent="0.25">
      <c r="A93" s="13" t="s">
        <v>128</v>
      </c>
      <c r="B93" s="95" t="s">
        <v>51</v>
      </c>
      <c r="C93" s="90" t="s">
        <v>99</v>
      </c>
      <c r="D93" s="143">
        <f>SUM(D94:D100)</f>
        <v>218.96400000000003</v>
      </c>
    </row>
    <row r="94" spans="1:4" ht="17.25" x14ac:dyDescent="0.25">
      <c r="A94" s="91"/>
      <c r="B94" s="74" t="s">
        <v>165</v>
      </c>
      <c r="C94" s="11" t="s">
        <v>46</v>
      </c>
      <c r="D94" s="140">
        <f>(0.1+0.1)*763.32</f>
        <v>152.66400000000002</v>
      </c>
    </row>
    <row r="95" spans="1:4" s="1" customFormat="1" x14ac:dyDescent="0.25">
      <c r="A95" s="91"/>
      <c r="B95" s="74" t="s">
        <v>141</v>
      </c>
      <c r="C95" s="11"/>
      <c r="D95" s="135"/>
    </row>
    <row r="96" spans="1:4" s="1" customFormat="1" x14ac:dyDescent="0.25">
      <c r="A96" s="91"/>
      <c r="B96" s="74" t="s">
        <v>142</v>
      </c>
      <c r="C96" s="11"/>
      <c r="D96" s="135"/>
    </row>
    <row r="97" spans="1:4" s="1" customFormat="1" ht="17.25" x14ac:dyDescent="0.25">
      <c r="A97" s="91"/>
      <c r="B97" s="74" t="s">
        <v>143</v>
      </c>
      <c r="C97" s="11" t="s">
        <v>46</v>
      </c>
      <c r="D97" s="135">
        <v>50</v>
      </c>
    </row>
    <row r="98" spans="1:4" s="1" customFormat="1" x14ac:dyDescent="0.25">
      <c r="A98" s="91"/>
      <c r="B98" s="74" t="s">
        <v>144</v>
      </c>
      <c r="C98" s="11"/>
      <c r="D98" s="135"/>
    </row>
    <row r="99" spans="1:4" s="1" customFormat="1" ht="17.25" x14ac:dyDescent="0.25">
      <c r="A99" s="91"/>
      <c r="B99" s="74" t="s">
        <v>145</v>
      </c>
      <c r="C99" s="11" t="s">
        <v>46</v>
      </c>
      <c r="D99" s="135">
        <v>8.3000000000000007</v>
      </c>
    </row>
    <row r="100" spans="1:4" s="1" customFormat="1" ht="17.25" x14ac:dyDescent="0.25">
      <c r="A100" s="91"/>
      <c r="B100" s="74" t="s">
        <v>171</v>
      </c>
      <c r="C100" s="11" t="s">
        <v>46</v>
      </c>
      <c r="D100" s="135">
        <v>8</v>
      </c>
    </row>
    <row r="101" spans="1:4" s="1" customFormat="1" x14ac:dyDescent="0.25">
      <c r="A101" s="91"/>
      <c r="B101" s="74"/>
      <c r="C101" s="11"/>
      <c r="D101" s="135"/>
    </row>
    <row r="102" spans="1:4" ht="17.25" x14ac:dyDescent="0.25">
      <c r="A102" s="13" t="s">
        <v>37</v>
      </c>
      <c r="B102" s="95" t="s">
        <v>52</v>
      </c>
      <c r="C102" s="90" t="s">
        <v>99</v>
      </c>
      <c r="D102" s="144">
        <f>SUM(D103:D109)</f>
        <v>1315.7408</v>
      </c>
    </row>
    <row r="103" spans="1:4" x14ac:dyDescent="0.25">
      <c r="A103" s="91"/>
      <c r="B103" s="145" t="s">
        <v>53</v>
      </c>
      <c r="C103" s="146"/>
      <c r="D103" s="147">
        <f>(0.65+0.67)*763.32</f>
        <v>1007.5824000000001</v>
      </c>
    </row>
    <row r="104" spans="1:4" s="1" customFormat="1" x14ac:dyDescent="0.25">
      <c r="A104" s="91"/>
      <c r="B104" s="145" t="s">
        <v>97</v>
      </c>
      <c r="C104" s="146"/>
      <c r="D104" s="147">
        <f>sjezd_11!F40</f>
        <v>13.705900000000002</v>
      </c>
    </row>
    <row r="105" spans="1:4" s="1" customFormat="1" x14ac:dyDescent="0.25">
      <c r="A105" s="91"/>
      <c r="B105" s="145" t="s">
        <v>98</v>
      </c>
      <c r="C105" s="146"/>
      <c r="D105" s="147">
        <f>'dočasný sjezd'!E35</f>
        <v>263.95249999999999</v>
      </c>
    </row>
    <row r="106" spans="1:4" s="1" customFormat="1" ht="17.25" x14ac:dyDescent="0.25">
      <c r="A106" s="91"/>
      <c r="B106" s="74" t="s">
        <v>195</v>
      </c>
      <c r="C106" s="146"/>
      <c r="D106" s="147">
        <v>5.5</v>
      </c>
    </row>
    <row r="107" spans="1:4" s="1" customFormat="1" ht="30" x14ac:dyDescent="0.25">
      <c r="A107" s="91"/>
      <c r="B107" s="75" t="s">
        <v>210</v>
      </c>
      <c r="C107" s="146"/>
      <c r="D107" s="147"/>
    </row>
    <row r="108" spans="1:4" s="1" customFormat="1" x14ac:dyDescent="0.25">
      <c r="A108" s="91"/>
      <c r="B108" s="74" t="s">
        <v>142</v>
      </c>
      <c r="C108" s="146"/>
      <c r="D108" s="147"/>
    </row>
    <row r="109" spans="1:4" s="1" customFormat="1" x14ac:dyDescent="0.25">
      <c r="A109" s="91"/>
      <c r="B109" s="74" t="s">
        <v>146</v>
      </c>
      <c r="C109" s="146"/>
      <c r="D109" s="147">
        <v>25</v>
      </c>
    </row>
    <row r="110" spans="1:4" s="1" customFormat="1" x14ac:dyDescent="0.25">
      <c r="A110" s="91"/>
      <c r="B110" s="74"/>
      <c r="C110" s="146"/>
      <c r="D110" s="147"/>
    </row>
    <row r="111" spans="1:4" ht="17.25" x14ac:dyDescent="0.25">
      <c r="A111" s="13" t="s">
        <v>129</v>
      </c>
      <c r="B111" s="95" t="s">
        <v>234</v>
      </c>
      <c r="C111" s="90" t="s">
        <v>182</v>
      </c>
      <c r="D111" s="144">
        <f>D112+D113+D114</f>
        <v>3899.7055</v>
      </c>
    </row>
    <row r="112" spans="1:4" x14ac:dyDescent="0.25">
      <c r="A112" s="91"/>
      <c r="B112" s="75" t="s">
        <v>54</v>
      </c>
      <c r="C112" s="11"/>
      <c r="D112" s="135">
        <f>(0.27+0.2)*763.32/0.1</f>
        <v>3587.6040000000003</v>
      </c>
    </row>
    <row r="113" spans="1:4" s="1" customFormat="1" x14ac:dyDescent="0.25">
      <c r="A113" s="91"/>
      <c r="B113" s="75" t="s">
        <v>97</v>
      </c>
      <c r="C113" s="11"/>
      <c r="D113" s="140">
        <f>sjezd_11!H40</f>
        <v>80.101499999999987</v>
      </c>
    </row>
    <row r="114" spans="1:4" s="1" customFormat="1" x14ac:dyDescent="0.25">
      <c r="A114" s="91"/>
      <c r="B114" s="75" t="s">
        <v>98</v>
      </c>
      <c r="C114" s="11"/>
      <c r="D114" s="140">
        <f>'dočasný sjezd'!E38</f>
        <v>232</v>
      </c>
    </row>
    <row r="115" spans="1:4" s="1" customFormat="1" x14ac:dyDescent="0.25">
      <c r="A115" s="91"/>
      <c r="B115" s="75"/>
      <c r="C115" s="11"/>
      <c r="D115" s="140"/>
    </row>
    <row r="116" spans="1:4" s="1" customFormat="1" ht="17.25" x14ac:dyDescent="0.25">
      <c r="A116" s="13" t="s">
        <v>183</v>
      </c>
      <c r="B116" s="82" t="s">
        <v>258</v>
      </c>
      <c r="C116" s="90" t="s">
        <v>182</v>
      </c>
      <c r="D116" s="148">
        <f>SUM(D117:D119)</f>
        <v>7576.5</v>
      </c>
    </row>
    <row r="117" spans="1:4" s="1" customFormat="1" ht="17.25" x14ac:dyDescent="0.25">
      <c r="A117" s="91"/>
      <c r="B117" s="75" t="s">
        <v>186</v>
      </c>
      <c r="C117" s="11" t="s">
        <v>116</v>
      </c>
      <c r="D117" s="149">
        <f>10*736.3</f>
        <v>7363</v>
      </c>
    </row>
    <row r="118" spans="1:4" s="1" customFormat="1" x14ac:dyDescent="0.25">
      <c r="A118" s="91"/>
      <c r="B118" s="75" t="s">
        <v>187</v>
      </c>
      <c r="C118" s="11"/>
      <c r="D118" s="140">
        <f>53 + 4*13</f>
        <v>105</v>
      </c>
    </row>
    <row r="119" spans="1:4" s="1" customFormat="1" ht="17.25" x14ac:dyDescent="0.25">
      <c r="A119" s="91"/>
      <c r="B119" s="75" t="s">
        <v>243</v>
      </c>
      <c r="C119" s="11" t="s">
        <v>116</v>
      </c>
      <c r="D119" s="140">
        <f xml:space="preserve"> 3.5*31</f>
        <v>108.5</v>
      </c>
    </row>
    <row r="120" spans="1:4" s="1" customFormat="1" x14ac:dyDescent="0.25">
      <c r="A120" s="91"/>
      <c r="B120" s="75"/>
      <c r="C120" s="11"/>
      <c r="D120" s="140"/>
    </row>
    <row r="121" spans="1:4" s="1" customFormat="1" ht="17.25" x14ac:dyDescent="0.25">
      <c r="A121" s="13" t="s">
        <v>220</v>
      </c>
      <c r="B121" s="82" t="s">
        <v>185</v>
      </c>
      <c r="C121" s="90" t="s">
        <v>182</v>
      </c>
      <c r="D121" s="148">
        <f>SUM(D122:D123)</f>
        <v>5668.9</v>
      </c>
    </row>
    <row r="122" spans="1:4" s="1" customFormat="1" ht="17.25" x14ac:dyDescent="0.25">
      <c r="A122" s="129"/>
      <c r="B122" s="75" t="s">
        <v>252</v>
      </c>
      <c r="C122" s="11" t="s">
        <v>116</v>
      </c>
      <c r="D122" s="149">
        <f>2* 3.7*763.3</f>
        <v>5648.42</v>
      </c>
    </row>
    <row r="123" spans="1:4" s="1" customFormat="1" ht="17.25" x14ac:dyDescent="0.25">
      <c r="A123" s="91"/>
      <c r="B123" s="75" t="s">
        <v>188</v>
      </c>
      <c r="C123" s="11" t="s">
        <v>116</v>
      </c>
      <c r="D123" s="149">
        <f xml:space="preserve"> 4*0.8 *6.4</f>
        <v>20.480000000000004</v>
      </c>
    </row>
    <row r="124" spans="1:4" s="1" customFormat="1" x14ac:dyDescent="0.25">
      <c r="A124" s="91"/>
      <c r="B124" s="75"/>
      <c r="C124" s="11"/>
      <c r="D124" s="149"/>
    </row>
    <row r="125" spans="1:4" s="1" customFormat="1" ht="30" x14ac:dyDescent="0.25">
      <c r="A125" s="91" t="s">
        <v>184</v>
      </c>
      <c r="B125" s="75" t="s">
        <v>235</v>
      </c>
      <c r="C125" s="11" t="s">
        <v>116</v>
      </c>
      <c r="D125" s="149">
        <f>3900+1223</f>
        <v>5123</v>
      </c>
    </row>
    <row r="126" spans="1:4" s="1" customFormat="1" x14ac:dyDescent="0.25">
      <c r="A126" s="91"/>
      <c r="B126" s="75" t="s">
        <v>233</v>
      </c>
      <c r="C126" s="11"/>
      <c r="D126" s="149"/>
    </row>
    <row r="127" spans="1:4" s="1" customFormat="1" x14ac:dyDescent="0.25">
      <c r="A127" s="91"/>
      <c r="B127" s="75"/>
      <c r="C127" s="11"/>
      <c r="D127" s="149"/>
    </row>
    <row r="128" spans="1:4" s="1" customFormat="1" x14ac:dyDescent="0.25">
      <c r="A128" s="91" t="s">
        <v>240</v>
      </c>
      <c r="B128" s="75" t="s">
        <v>241</v>
      </c>
      <c r="C128" s="11"/>
      <c r="D128" s="149"/>
    </row>
    <row r="129" spans="1:4" s="1" customFormat="1" ht="17.25" x14ac:dyDescent="0.25">
      <c r="A129" s="91"/>
      <c r="B129" s="75" t="s">
        <v>242</v>
      </c>
      <c r="C129" s="11" t="s">
        <v>116</v>
      </c>
      <c r="D129" s="149">
        <f>3*31</f>
        <v>93</v>
      </c>
    </row>
    <row r="130" spans="1:4" s="1" customFormat="1" x14ac:dyDescent="0.25">
      <c r="A130" s="91"/>
      <c r="B130" s="75"/>
      <c r="C130" s="11"/>
      <c r="D130" s="149"/>
    </row>
    <row r="131" spans="1:4" s="1" customFormat="1" ht="30" x14ac:dyDescent="0.25">
      <c r="A131" s="91" t="s">
        <v>250</v>
      </c>
      <c r="B131" s="75" t="s">
        <v>251</v>
      </c>
      <c r="C131" s="11" t="s">
        <v>19</v>
      </c>
      <c r="D131" s="149">
        <v>1223</v>
      </c>
    </row>
    <row r="132" spans="1:4" s="1" customFormat="1" x14ac:dyDescent="0.25">
      <c r="A132" s="91"/>
      <c r="B132" s="75"/>
      <c r="C132" s="11"/>
      <c r="D132" s="149"/>
    </row>
    <row r="133" spans="1:4" s="1" customFormat="1" ht="45" x14ac:dyDescent="0.25">
      <c r="A133" s="91" t="s">
        <v>262</v>
      </c>
      <c r="B133" s="75" t="s">
        <v>264</v>
      </c>
      <c r="C133" s="11" t="s">
        <v>17</v>
      </c>
      <c r="D133" s="149">
        <f>(1.33+1.56)*763.32</f>
        <v>2205.9948000000004</v>
      </c>
    </row>
    <row r="134" spans="1:4" s="1" customFormat="1" x14ac:dyDescent="0.25">
      <c r="A134" s="91"/>
      <c r="B134" s="75" t="s">
        <v>276</v>
      </c>
      <c r="C134" s="11"/>
      <c r="D134" s="149"/>
    </row>
    <row r="135" spans="1:4" s="1" customFormat="1" x14ac:dyDescent="0.25">
      <c r="A135" s="91"/>
      <c r="B135" s="75"/>
      <c r="C135" s="11"/>
      <c r="D135" s="149"/>
    </row>
    <row r="136" spans="1:4" s="1" customFormat="1" ht="30" x14ac:dyDescent="0.25">
      <c r="A136" s="91" t="s">
        <v>268</v>
      </c>
      <c r="B136" s="75" t="s">
        <v>275</v>
      </c>
      <c r="C136" s="11" t="s">
        <v>17</v>
      </c>
      <c r="D136" s="149">
        <v>66.900000000000006</v>
      </c>
    </row>
    <row r="137" spans="1:4" s="1" customFormat="1" x14ac:dyDescent="0.25">
      <c r="A137" s="91"/>
      <c r="B137" s="75" t="s">
        <v>274</v>
      </c>
      <c r="C137" s="11"/>
      <c r="D137" s="149"/>
    </row>
    <row r="138" spans="1:4" s="1" customFormat="1" x14ac:dyDescent="0.25">
      <c r="A138" s="91"/>
      <c r="B138" s="75"/>
      <c r="C138" s="11"/>
      <c r="D138" s="140"/>
    </row>
    <row r="139" spans="1:4" ht="15.75" x14ac:dyDescent="0.25">
      <c r="A139" s="150" t="s">
        <v>34</v>
      </c>
      <c r="B139" s="151" t="s">
        <v>55</v>
      </c>
      <c r="C139" s="3"/>
      <c r="D139" s="152"/>
    </row>
    <row r="140" spans="1:4" x14ac:dyDescent="0.25">
      <c r="A140" s="91"/>
      <c r="B140" s="74" t="s">
        <v>56</v>
      </c>
      <c r="C140" s="11" t="s">
        <v>20</v>
      </c>
      <c r="D140" s="153">
        <v>151</v>
      </c>
    </row>
    <row r="141" spans="1:4" s="1" customFormat="1" x14ac:dyDescent="0.25">
      <c r="A141" s="91" t="s">
        <v>24</v>
      </c>
      <c r="B141" s="74" t="s">
        <v>147</v>
      </c>
      <c r="C141" s="11" t="s">
        <v>7</v>
      </c>
      <c r="D141" s="166">
        <f>9*151+D143</f>
        <v>2123</v>
      </c>
    </row>
    <row r="142" spans="1:4" s="1" customFormat="1" x14ac:dyDescent="0.25">
      <c r="A142" s="91"/>
      <c r="B142" s="74" t="s">
        <v>282</v>
      </c>
      <c r="C142" s="11" t="s">
        <v>7</v>
      </c>
      <c r="D142" s="135">
        <f>9*151</f>
        <v>1359</v>
      </c>
    </row>
    <row r="143" spans="1:4" s="1" customFormat="1" x14ac:dyDescent="0.25">
      <c r="A143" s="91"/>
      <c r="B143" s="74" t="s">
        <v>221</v>
      </c>
      <c r="C143" s="11" t="s">
        <v>7</v>
      </c>
      <c r="D143" s="135">
        <v>764</v>
      </c>
    </row>
    <row r="144" spans="1:4" s="1" customFormat="1" x14ac:dyDescent="0.25">
      <c r="A144" s="91"/>
      <c r="B144" s="154"/>
      <c r="C144" s="3"/>
      <c r="D144" s="152"/>
    </row>
    <row r="145" spans="1:5" s="1" customFormat="1" ht="31.5" customHeight="1" x14ac:dyDescent="0.25">
      <c r="A145" s="91" t="s">
        <v>25</v>
      </c>
      <c r="B145" s="75" t="s">
        <v>280</v>
      </c>
      <c r="C145" s="11" t="s">
        <v>19</v>
      </c>
      <c r="D145" s="135">
        <f>(762+765)*0.25</f>
        <v>381.75</v>
      </c>
    </row>
    <row r="146" spans="1:5" s="1" customFormat="1" x14ac:dyDescent="0.25">
      <c r="A146" s="91"/>
      <c r="B146" s="74" t="s">
        <v>281</v>
      </c>
      <c r="C146" s="3"/>
      <c r="D146" s="152"/>
    </row>
    <row r="147" spans="1:5" s="1" customFormat="1" x14ac:dyDescent="0.25">
      <c r="A147" s="91"/>
      <c r="B147" s="74"/>
      <c r="C147" s="3"/>
      <c r="D147" s="152"/>
    </row>
    <row r="148" spans="1:5" s="1" customFormat="1" x14ac:dyDescent="0.25">
      <c r="A148" s="91" t="s">
        <v>32</v>
      </c>
      <c r="B148" s="74" t="s">
        <v>279</v>
      </c>
      <c r="C148" s="11"/>
      <c r="D148" s="135"/>
    </row>
    <row r="149" spans="1:5" s="1" customFormat="1" x14ac:dyDescent="0.25">
      <c r="A149" s="91"/>
      <c r="B149" s="74"/>
      <c r="C149" s="3"/>
      <c r="D149" s="152"/>
    </row>
    <row r="150" spans="1:5" x14ac:dyDescent="0.25">
      <c r="A150" s="91" t="s">
        <v>38</v>
      </c>
      <c r="B150" s="74" t="s">
        <v>57</v>
      </c>
      <c r="C150" s="3"/>
      <c r="D150" s="140" t="s">
        <v>148</v>
      </c>
    </row>
    <row r="151" spans="1:5" x14ac:dyDescent="0.25">
      <c r="A151" s="5"/>
      <c r="B151" s="74"/>
      <c r="C151" s="3"/>
      <c r="D151" s="155"/>
      <c r="E151" s="87"/>
    </row>
    <row r="152" spans="1:5" s="1" customFormat="1" x14ac:dyDescent="0.25">
      <c r="A152" s="91" t="s">
        <v>39</v>
      </c>
      <c r="B152" s="74" t="s">
        <v>189</v>
      </c>
      <c r="C152" s="132"/>
      <c r="D152" s="156"/>
    </row>
    <row r="153" spans="1:5" s="1" customFormat="1" ht="17.25" x14ac:dyDescent="0.25">
      <c r="A153" s="91"/>
      <c r="B153" s="74" t="s">
        <v>190</v>
      </c>
      <c r="C153" s="11" t="s">
        <v>116</v>
      </c>
      <c r="D153" s="135">
        <v>17.5</v>
      </c>
    </row>
    <row r="154" spans="1:5" s="1" customFormat="1" ht="17.25" x14ac:dyDescent="0.25">
      <c r="A154" s="157"/>
      <c r="B154" s="74" t="s">
        <v>192</v>
      </c>
      <c r="C154" s="11" t="s">
        <v>116</v>
      </c>
      <c r="D154" s="135">
        <v>1</v>
      </c>
    </row>
    <row r="155" spans="1:5" s="1" customFormat="1" x14ac:dyDescent="0.25">
      <c r="A155" s="157"/>
      <c r="B155" s="132"/>
      <c r="C155" s="158"/>
      <c r="D155" s="159"/>
    </row>
    <row r="156" spans="1:5" s="1" customFormat="1" ht="30" x14ac:dyDescent="0.25">
      <c r="A156" s="91" t="s">
        <v>40</v>
      </c>
      <c r="B156" s="75" t="s">
        <v>223</v>
      </c>
      <c r="C156" s="11" t="s">
        <v>116</v>
      </c>
      <c r="D156" s="135">
        <f>(4.6+3.6)*0.3</f>
        <v>2.4599999999999995</v>
      </c>
    </row>
    <row r="157" spans="1:5" s="1" customFormat="1" x14ac:dyDescent="0.25">
      <c r="A157" s="160"/>
      <c r="B157" s="161"/>
      <c r="C157" s="158"/>
      <c r="D157" s="152"/>
    </row>
    <row r="158" spans="1:5" s="1" customFormat="1" ht="17.25" x14ac:dyDescent="0.25">
      <c r="A158" s="91" t="s">
        <v>41</v>
      </c>
      <c r="B158" s="74" t="s">
        <v>222</v>
      </c>
      <c r="C158" s="11" t="s">
        <v>116</v>
      </c>
      <c r="D158" s="135">
        <v>20</v>
      </c>
    </row>
    <row r="159" spans="1:5" s="1" customFormat="1" x14ac:dyDescent="0.25">
      <c r="A159" s="162"/>
      <c r="B159" s="74" t="s">
        <v>191</v>
      </c>
      <c r="C159" s="94"/>
      <c r="D159" s="105"/>
    </row>
    <row r="160" spans="1:5" s="1" customFormat="1" x14ac:dyDescent="0.25">
      <c r="A160" s="162"/>
      <c r="B160" s="74"/>
      <c r="C160" s="94"/>
      <c r="D160" s="105"/>
    </row>
    <row r="161" spans="1:4" s="1" customFormat="1" ht="30" x14ac:dyDescent="0.25">
      <c r="A161" s="91" t="s">
        <v>244</v>
      </c>
      <c r="B161" s="75" t="s">
        <v>245</v>
      </c>
      <c r="C161" s="11" t="s">
        <v>20</v>
      </c>
      <c r="D161" s="14">
        <v>3</v>
      </c>
    </row>
    <row r="162" spans="1:4" s="1" customFormat="1" ht="30" x14ac:dyDescent="0.25">
      <c r="A162" s="163"/>
      <c r="B162" s="75" t="s">
        <v>246</v>
      </c>
      <c r="C162" s="164"/>
      <c r="D162" s="165"/>
    </row>
    <row r="163" spans="1:4" s="1" customFormat="1" x14ac:dyDescent="0.25">
      <c r="A163" s="163"/>
      <c r="B163" s="75"/>
      <c r="C163" s="164"/>
      <c r="D163" s="165"/>
    </row>
    <row r="164" spans="1:4" s="1" customFormat="1" ht="30" x14ac:dyDescent="0.25">
      <c r="A164" s="91" t="s">
        <v>247</v>
      </c>
      <c r="B164" s="75" t="s">
        <v>248</v>
      </c>
      <c r="C164" s="11" t="s">
        <v>16</v>
      </c>
      <c r="D164" s="14">
        <v>1</v>
      </c>
    </row>
    <row r="165" spans="1:4" s="1" customFormat="1" x14ac:dyDescent="0.25">
      <c r="A165" s="162"/>
      <c r="B165" s="75"/>
      <c r="C165" s="94"/>
      <c r="D165" s="105"/>
    </row>
    <row r="166" spans="1:4" s="1" customFormat="1" x14ac:dyDescent="0.25">
      <c r="A166" s="160"/>
      <c r="B166" s="161"/>
      <c r="C166" s="158"/>
      <c r="D166" s="159"/>
    </row>
    <row r="167" spans="1:4" s="1" customFormat="1" ht="15.75" x14ac:dyDescent="0.25">
      <c r="A167" s="150" t="s">
        <v>35</v>
      </c>
      <c r="B167" s="151" t="s">
        <v>58</v>
      </c>
      <c r="C167" s="3"/>
      <c r="D167" s="152"/>
    </row>
    <row r="168" spans="1:4" s="1" customFormat="1" x14ac:dyDescent="0.25">
      <c r="A168" s="91"/>
      <c r="B168" s="95" t="s">
        <v>47</v>
      </c>
      <c r="C168" s="11"/>
      <c r="D168" s="135"/>
    </row>
    <row r="169" spans="1:4" s="1" customFormat="1" ht="17.25" x14ac:dyDescent="0.25">
      <c r="A169" s="91" t="s">
        <v>160</v>
      </c>
      <c r="B169" s="95" t="s">
        <v>62</v>
      </c>
      <c r="C169" s="90" t="s">
        <v>99</v>
      </c>
      <c r="D169" s="166">
        <f>SUM(D171:D174)</f>
        <v>59.632000000000005</v>
      </c>
    </row>
    <row r="170" spans="1:4" s="1" customFormat="1" x14ac:dyDescent="0.25">
      <c r="A170" s="91"/>
      <c r="B170" s="74" t="s">
        <v>226</v>
      </c>
      <c r="C170" s="11"/>
      <c r="D170" s="128"/>
    </row>
    <row r="171" spans="1:4" s="1" customFormat="1" ht="17.25" x14ac:dyDescent="0.25">
      <c r="A171" s="91"/>
      <c r="B171" s="74" t="s">
        <v>227</v>
      </c>
      <c r="C171" s="11" t="s">
        <v>46</v>
      </c>
      <c r="D171" s="135">
        <f>2*2* 1.1*13</f>
        <v>57.2</v>
      </c>
    </row>
    <row r="172" spans="1:4" s="1" customFormat="1" x14ac:dyDescent="0.25">
      <c r="A172" s="91"/>
      <c r="B172" s="74" t="s">
        <v>149</v>
      </c>
      <c r="C172" s="11"/>
      <c r="D172" s="135"/>
    </row>
    <row r="173" spans="1:4" s="1" customFormat="1" ht="17.25" x14ac:dyDescent="0.25">
      <c r="A173" s="91"/>
      <c r="B173" s="74" t="s">
        <v>150</v>
      </c>
      <c r="C173" s="11" t="s">
        <v>46</v>
      </c>
      <c r="D173" s="135">
        <f>(1.2+1.2)*0.1*6.4</f>
        <v>1.536</v>
      </c>
    </row>
    <row r="174" spans="1:4" s="1" customFormat="1" ht="17.25" x14ac:dyDescent="0.25">
      <c r="A174" s="91"/>
      <c r="B174" s="74" t="s">
        <v>166</v>
      </c>
      <c r="C174" s="11" t="s">
        <v>46</v>
      </c>
      <c r="D174" s="135">
        <f>(0.7+ 0.7)*0.1*6.4</f>
        <v>0.89599999999999991</v>
      </c>
    </row>
    <row r="175" spans="1:4" s="1" customFormat="1" x14ac:dyDescent="0.25">
      <c r="A175" s="91"/>
      <c r="B175" s="74"/>
      <c r="C175" s="3"/>
      <c r="D175" s="152"/>
    </row>
    <row r="176" spans="1:4" s="1" customFormat="1" x14ac:dyDescent="0.25">
      <c r="A176" s="91" t="s">
        <v>161</v>
      </c>
      <c r="B176" s="95" t="s">
        <v>153</v>
      </c>
      <c r="C176" s="3"/>
      <c r="D176" s="152"/>
    </row>
    <row r="177" spans="1:6" s="1" customFormat="1" ht="17.25" x14ac:dyDescent="0.25">
      <c r="A177" s="91"/>
      <c r="B177" s="74" t="s">
        <v>64</v>
      </c>
      <c r="C177" s="11" t="s">
        <v>46</v>
      </c>
      <c r="D177" s="166">
        <f>SUM(D178:D190)</f>
        <v>1872.5050000000001</v>
      </c>
    </row>
    <row r="178" spans="1:6" s="1" customFormat="1" ht="17.25" x14ac:dyDescent="0.25">
      <c r="A178" s="91"/>
      <c r="B178" s="74" t="s">
        <v>167</v>
      </c>
      <c r="C178" s="11" t="s">
        <v>46</v>
      </c>
      <c r="D178" s="135">
        <f>763.2*2.4</f>
        <v>1831.68</v>
      </c>
    </row>
    <row r="179" spans="1:6" s="1" customFormat="1" x14ac:dyDescent="0.25">
      <c r="A179" s="91"/>
      <c r="B179" s="74" t="s">
        <v>59</v>
      </c>
      <c r="C179" s="11"/>
      <c r="D179" s="135"/>
    </row>
    <row r="180" spans="1:6" s="1" customFormat="1" x14ac:dyDescent="0.25">
      <c r="A180" s="91"/>
      <c r="B180" s="74" t="s">
        <v>155</v>
      </c>
      <c r="C180" s="11"/>
      <c r="D180" s="135"/>
    </row>
    <row r="181" spans="1:6" s="1" customFormat="1" ht="17.25" x14ac:dyDescent="0.25">
      <c r="A181" s="91"/>
      <c r="B181" s="74" t="s">
        <v>154</v>
      </c>
      <c r="C181" s="11" t="s">
        <v>46</v>
      </c>
      <c r="D181" s="135">
        <v>7.5</v>
      </c>
    </row>
    <row r="182" spans="1:6" s="1" customFormat="1" x14ac:dyDescent="0.25">
      <c r="A182" s="91"/>
      <c r="B182" s="74" t="s">
        <v>61</v>
      </c>
      <c r="C182" s="94"/>
      <c r="D182" s="128"/>
      <c r="F182" s="12"/>
    </row>
    <row r="183" spans="1:6" s="1" customFormat="1" ht="17.25" x14ac:dyDescent="0.25">
      <c r="A183" s="91"/>
      <c r="B183" s="74" t="s">
        <v>60</v>
      </c>
      <c r="C183" s="11" t="s">
        <v>46</v>
      </c>
      <c r="D183" s="135">
        <f>(55*0.2)+(3.05*0.5)</f>
        <v>12.525</v>
      </c>
      <c r="F183" s="12"/>
    </row>
    <row r="184" spans="1:6" s="1" customFormat="1" x14ac:dyDescent="0.25">
      <c r="A184" s="91"/>
      <c r="B184" s="74" t="s">
        <v>193</v>
      </c>
      <c r="C184" s="11"/>
      <c r="D184" s="135"/>
    </row>
    <row r="185" spans="1:6" s="1" customFormat="1" x14ac:dyDescent="0.25">
      <c r="A185" s="91"/>
      <c r="B185" s="74" t="s">
        <v>157</v>
      </c>
      <c r="C185" s="11"/>
      <c r="D185" s="135"/>
    </row>
    <row r="186" spans="1:6" s="1" customFormat="1" ht="17.25" x14ac:dyDescent="0.25">
      <c r="A186" s="91"/>
      <c r="B186" s="74" t="s">
        <v>158</v>
      </c>
      <c r="C186" s="11" t="s">
        <v>46</v>
      </c>
      <c r="D186" s="140">
        <f>(0.75 +0.65 )*6.4</f>
        <v>8.9599999999999991</v>
      </c>
    </row>
    <row r="187" spans="1:6" s="1" customFormat="1" ht="17.25" x14ac:dyDescent="0.25">
      <c r="A187" s="91"/>
      <c r="B187" s="74" t="s">
        <v>168</v>
      </c>
      <c r="C187" s="11" t="s">
        <v>46</v>
      </c>
      <c r="D187" s="140">
        <f xml:space="preserve">   (0.7 + 0.75 )*6.4</f>
        <v>9.2799999999999994</v>
      </c>
    </row>
    <row r="188" spans="1:6" s="1" customFormat="1" x14ac:dyDescent="0.25">
      <c r="A188" s="91"/>
      <c r="B188" s="74" t="s">
        <v>163</v>
      </c>
      <c r="C188" s="11"/>
      <c r="D188" s="135"/>
    </row>
    <row r="189" spans="1:6" s="1" customFormat="1" ht="17.25" x14ac:dyDescent="0.25">
      <c r="A189" s="91"/>
      <c r="B189" s="74" t="s">
        <v>159</v>
      </c>
      <c r="C189" s="11" t="s">
        <v>46</v>
      </c>
      <c r="D189" s="140">
        <f>2*0.1*6.4</f>
        <v>1.2800000000000002</v>
      </c>
    </row>
    <row r="190" spans="1:6" s="1" customFormat="1" ht="17.25" x14ac:dyDescent="0.25">
      <c r="A190" s="91"/>
      <c r="B190" s="74" t="s">
        <v>169</v>
      </c>
      <c r="C190" s="11" t="s">
        <v>46</v>
      </c>
      <c r="D190" s="140">
        <f>2*0.1*6.4</f>
        <v>1.2800000000000002</v>
      </c>
    </row>
    <row r="191" spans="1:6" s="1" customFormat="1" x14ac:dyDescent="0.25">
      <c r="A191" s="91"/>
      <c r="B191" s="74"/>
      <c r="C191" s="11"/>
      <c r="D191" s="135"/>
    </row>
    <row r="192" spans="1:6" s="1" customFormat="1" ht="50.25" customHeight="1" x14ac:dyDescent="0.25">
      <c r="A192" s="91" t="s">
        <v>162</v>
      </c>
      <c r="B192" s="167" t="s">
        <v>260</v>
      </c>
      <c r="C192" s="11" t="s">
        <v>46</v>
      </c>
      <c r="D192" s="96">
        <f>5*0.84*4.2+0.6*0.81*4.2</f>
        <v>19.6812</v>
      </c>
    </row>
    <row r="193" spans="1:4" s="1" customFormat="1" ht="18.75" customHeight="1" x14ac:dyDescent="0.25">
      <c r="A193" s="91"/>
      <c r="B193" s="167" t="s">
        <v>253</v>
      </c>
      <c r="C193" s="11"/>
      <c r="D193" s="96"/>
    </row>
    <row r="194" spans="1:4" s="1" customFormat="1" ht="18.75" customHeight="1" x14ac:dyDescent="0.25">
      <c r="A194" s="91"/>
      <c r="B194" s="167" t="s">
        <v>254</v>
      </c>
      <c r="C194" s="11"/>
      <c r="D194" s="96"/>
    </row>
    <row r="195" spans="1:4" s="1" customFormat="1" x14ac:dyDescent="0.25">
      <c r="A195" s="91"/>
      <c r="B195" s="154"/>
      <c r="C195" s="3"/>
      <c r="D195" s="106"/>
    </row>
    <row r="196" spans="1:4" s="1" customFormat="1" x14ac:dyDescent="0.25">
      <c r="A196" s="13" t="s">
        <v>151</v>
      </c>
      <c r="B196" s="95" t="s">
        <v>152</v>
      </c>
      <c r="C196" s="3"/>
      <c r="D196" s="106"/>
    </row>
    <row r="197" spans="1:4" s="1" customFormat="1" ht="17.25" x14ac:dyDescent="0.25">
      <c r="A197" s="5"/>
      <c r="B197" s="94" t="s">
        <v>172</v>
      </c>
      <c r="C197" s="90" t="s">
        <v>182</v>
      </c>
      <c r="D197" s="168">
        <f>SUM(D199:D209)</f>
        <v>431.10999999999996</v>
      </c>
    </row>
    <row r="198" spans="1:4" s="1" customFormat="1" ht="32.25" x14ac:dyDescent="0.25">
      <c r="A198" s="5"/>
      <c r="B198" s="75" t="s">
        <v>194</v>
      </c>
      <c r="C198" s="90" t="s">
        <v>182</v>
      </c>
      <c r="D198" s="96">
        <f>1*1*13</f>
        <v>13</v>
      </c>
    </row>
    <row r="199" spans="1:4" s="1" customFormat="1" ht="33.75" customHeight="1" x14ac:dyDescent="0.25">
      <c r="A199" s="5"/>
      <c r="B199" s="75" t="s">
        <v>181</v>
      </c>
      <c r="C199" s="90" t="s">
        <v>182</v>
      </c>
      <c r="D199" s="96">
        <f>1*4*0.3*13</f>
        <v>15.6</v>
      </c>
    </row>
    <row r="200" spans="1:4" s="88" customFormat="1" ht="17.25" x14ac:dyDescent="0.25">
      <c r="A200" s="91"/>
      <c r="B200" s="74" t="s">
        <v>174</v>
      </c>
      <c r="C200" s="90" t="s">
        <v>182</v>
      </c>
      <c r="D200" s="104">
        <f>(762+765)*0.25</f>
        <v>381.75</v>
      </c>
    </row>
    <row r="201" spans="1:4" s="1" customFormat="1" x14ac:dyDescent="0.25">
      <c r="A201" s="91"/>
      <c r="B201" s="74" t="s">
        <v>173</v>
      </c>
      <c r="C201" s="11"/>
      <c r="D201" s="169"/>
    </row>
    <row r="202" spans="1:4" s="1" customFormat="1" ht="17.25" x14ac:dyDescent="0.25">
      <c r="A202" s="91"/>
      <c r="B202" s="74" t="s">
        <v>228</v>
      </c>
      <c r="C202" s="90" t="s">
        <v>182</v>
      </c>
      <c r="D202" s="104">
        <f>4*0.3*0.8*2</f>
        <v>1.92</v>
      </c>
    </row>
    <row r="203" spans="1:4" s="1" customFormat="1" x14ac:dyDescent="0.25">
      <c r="A203" s="91"/>
      <c r="B203" s="74" t="s">
        <v>175</v>
      </c>
      <c r="C203" s="94"/>
      <c r="D203" s="105"/>
    </row>
    <row r="204" spans="1:4" s="1" customFormat="1" x14ac:dyDescent="0.25">
      <c r="A204" s="91"/>
      <c r="B204" s="74" t="s">
        <v>176</v>
      </c>
      <c r="C204" s="94"/>
      <c r="D204" s="105"/>
    </row>
    <row r="205" spans="1:4" s="1" customFormat="1" ht="17.25" x14ac:dyDescent="0.25">
      <c r="A205" s="91"/>
      <c r="B205" s="74" t="s">
        <v>177</v>
      </c>
      <c r="C205" s="90" t="s">
        <v>182</v>
      </c>
      <c r="D205" s="104">
        <f xml:space="preserve"> (0.5+0.5+6.4)* 0.8*2</f>
        <v>11.840000000000002</v>
      </c>
    </row>
    <row r="206" spans="1:4" s="1" customFormat="1" ht="17.25" x14ac:dyDescent="0.25">
      <c r="A206" s="91"/>
      <c r="B206" s="74" t="s">
        <v>178</v>
      </c>
      <c r="C206" s="90" t="s">
        <v>182</v>
      </c>
      <c r="D206" s="104">
        <f>0.66*6</f>
        <v>3.96</v>
      </c>
    </row>
    <row r="207" spans="1:4" s="1" customFormat="1" x14ac:dyDescent="0.25">
      <c r="A207" s="91"/>
      <c r="B207" s="74" t="s">
        <v>179</v>
      </c>
      <c r="C207" s="94"/>
      <c r="D207" s="105"/>
    </row>
    <row r="208" spans="1:4" s="1" customFormat="1" ht="17.25" x14ac:dyDescent="0.25">
      <c r="A208" s="91"/>
      <c r="B208" s="74" t="s">
        <v>177</v>
      </c>
      <c r="C208" s="90" t="s">
        <v>182</v>
      </c>
      <c r="D208" s="104">
        <f xml:space="preserve"> (0.5+0.5+6.4)* 0.8*2</f>
        <v>11.840000000000002</v>
      </c>
    </row>
    <row r="209" spans="1:5" s="1" customFormat="1" ht="17.25" x14ac:dyDescent="0.25">
      <c r="A209" s="91"/>
      <c r="B209" s="74" t="s">
        <v>180</v>
      </c>
      <c r="C209" s="90" t="s">
        <v>182</v>
      </c>
      <c r="D209" s="104">
        <f>0.7*6</f>
        <v>4.1999999999999993</v>
      </c>
    </row>
    <row r="210" spans="1:5" s="1" customFormat="1" ht="17.25" x14ac:dyDescent="0.25">
      <c r="A210" s="91"/>
      <c r="B210" s="74" t="s">
        <v>198</v>
      </c>
      <c r="C210" s="90" t="s">
        <v>182</v>
      </c>
      <c r="D210" s="104">
        <f>2*0.8 * (9.5+10)</f>
        <v>31.200000000000003</v>
      </c>
    </row>
    <row r="211" spans="1:5" s="1" customFormat="1" x14ac:dyDescent="0.25">
      <c r="A211" s="91"/>
      <c r="B211" s="74"/>
      <c r="C211" s="94"/>
      <c r="D211" s="105"/>
    </row>
    <row r="212" spans="1:5" s="1" customFormat="1" x14ac:dyDescent="0.25">
      <c r="A212" s="91" t="s">
        <v>196</v>
      </c>
      <c r="B212" s="95" t="s">
        <v>197</v>
      </c>
      <c r="C212" s="3"/>
      <c r="D212" s="106"/>
    </row>
    <row r="213" spans="1:5" s="1" customFormat="1" ht="32.25" x14ac:dyDescent="0.25">
      <c r="A213" s="91" t="s">
        <v>229</v>
      </c>
      <c r="B213" s="75" t="s">
        <v>257</v>
      </c>
      <c r="C213" s="11" t="s">
        <v>199</v>
      </c>
      <c r="D213" s="96">
        <f xml:space="preserve"> 31.2 * 1.3*4.44</f>
        <v>180.08640000000003</v>
      </c>
    </row>
    <row r="214" spans="1:5" s="1" customFormat="1" x14ac:dyDescent="0.25">
      <c r="A214" s="91"/>
      <c r="B214" s="74"/>
      <c r="C214" s="3"/>
      <c r="D214" s="106"/>
    </row>
    <row r="215" spans="1:5" s="1" customFormat="1" ht="60" x14ac:dyDescent="0.25">
      <c r="A215" s="91" t="s">
        <v>230</v>
      </c>
      <c r="B215" s="75" t="s">
        <v>231</v>
      </c>
      <c r="C215" s="11" t="s">
        <v>199</v>
      </c>
      <c r="D215" s="96">
        <f>2*0.6*0.9*2*7.9</f>
        <v>17.064000000000004</v>
      </c>
      <c r="E215" s="12"/>
    </row>
    <row r="216" spans="1:5" s="1" customFormat="1" x14ac:dyDescent="0.25">
      <c r="A216" s="91"/>
      <c r="B216" s="170"/>
      <c r="C216" s="3"/>
      <c r="D216" s="152"/>
    </row>
    <row r="217" spans="1:5" x14ac:dyDescent="0.25">
      <c r="A217" s="171"/>
      <c r="B217" s="161"/>
      <c r="C217" s="3"/>
      <c r="D217" s="152"/>
    </row>
    <row r="218" spans="1:5" x14ac:dyDescent="0.25">
      <c r="A218" s="13" t="s">
        <v>36</v>
      </c>
      <c r="B218" s="82" t="s">
        <v>27</v>
      </c>
      <c r="C218" s="11"/>
      <c r="D218" s="14"/>
    </row>
    <row r="219" spans="1:5" s="1" customFormat="1" ht="75" x14ac:dyDescent="0.25">
      <c r="A219" s="91" t="s">
        <v>28</v>
      </c>
      <c r="B219" s="75" t="s">
        <v>249</v>
      </c>
      <c r="C219" s="11" t="s">
        <v>16</v>
      </c>
      <c r="D219" s="14">
        <v>1</v>
      </c>
    </row>
    <row r="220" spans="1:5" x14ac:dyDescent="0.25">
      <c r="A220" s="91"/>
      <c r="B220" s="74"/>
      <c r="C220" s="11"/>
      <c r="D220" s="14"/>
    </row>
    <row r="221" spans="1:5" ht="60" x14ac:dyDescent="0.25">
      <c r="A221" s="91" t="s">
        <v>30</v>
      </c>
      <c r="B221" s="75" t="s">
        <v>63</v>
      </c>
      <c r="C221" s="11" t="s">
        <v>16</v>
      </c>
      <c r="D221" s="14">
        <v>1</v>
      </c>
    </row>
    <row r="222" spans="1:5" x14ac:dyDescent="0.25">
      <c r="A222" s="91"/>
      <c r="B222" s="74"/>
      <c r="C222" s="11"/>
      <c r="D222" s="14"/>
    </row>
    <row r="223" spans="1:5" x14ac:dyDescent="0.25">
      <c r="A223" s="91" t="s">
        <v>232</v>
      </c>
      <c r="B223" s="74" t="s">
        <v>29</v>
      </c>
      <c r="C223" s="11" t="s">
        <v>19</v>
      </c>
      <c r="D223" s="15">
        <f>3*D125</f>
        <v>15369</v>
      </c>
    </row>
    <row r="224" spans="1:5" s="1" customFormat="1" x14ac:dyDescent="0.25">
      <c r="A224" s="91"/>
      <c r="B224" s="74"/>
      <c r="C224" s="11"/>
      <c r="D224" s="15"/>
    </row>
    <row r="225" spans="1:4" s="1" customFormat="1" ht="30" x14ac:dyDescent="0.25">
      <c r="A225" s="91" t="s">
        <v>31</v>
      </c>
      <c r="B225" s="75" t="s">
        <v>236</v>
      </c>
      <c r="C225" s="11" t="s">
        <v>16</v>
      </c>
      <c r="D225" s="123">
        <v>1</v>
      </c>
    </row>
    <row r="226" spans="1:4" s="1" customFormat="1" x14ac:dyDescent="0.25">
      <c r="A226" s="119"/>
      <c r="B226" s="120"/>
      <c r="C226" s="121"/>
      <c r="D226" s="124"/>
    </row>
    <row r="227" spans="1:4" s="1" customFormat="1" ht="30" x14ac:dyDescent="0.25">
      <c r="A227" s="119" t="s">
        <v>266</v>
      </c>
      <c r="B227" s="120" t="s">
        <v>269</v>
      </c>
      <c r="C227" s="121" t="s">
        <v>16</v>
      </c>
      <c r="D227" s="124">
        <v>1</v>
      </c>
    </row>
    <row r="228" spans="1:4" s="1" customFormat="1" x14ac:dyDescent="0.25">
      <c r="A228" s="119"/>
      <c r="B228" s="120" t="s">
        <v>267</v>
      </c>
      <c r="C228" s="121"/>
      <c r="D228" s="122"/>
    </row>
    <row r="229" spans="1:4" ht="15.75" thickBot="1" x14ac:dyDescent="0.3">
      <c r="A229" s="107"/>
      <c r="B229" s="108"/>
      <c r="C229" s="109"/>
      <c r="D229" s="110"/>
    </row>
    <row r="230" spans="1:4" x14ac:dyDescent="0.25">
      <c r="A230" s="89"/>
      <c r="B230" s="172"/>
      <c r="C230" s="89"/>
      <c r="D230" s="126"/>
    </row>
    <row r="231" spans="1:4" x14ac:dyDescent="0.25">
      <c r="A231" s="89"/>
      <c r="B231" s="172"/>
      <c r="C231" s="89"/>
      <c r="D231" s="126"/>
    </row>
    <row r="232" spans="1:4" x14ac:dyDescent="0.25">
      <c r="A232" s="89"/>
      <c r="B232" s="172"/>
      <c r="C232" s="89"/>
      <c r="D232" s="126"/>
    </row>
    <row r="233" spans="1:4" x14ac:dyDescent="0.25">
      <c r="A233" s="89"/>
      <c r="B233" s="172"/>
      <c r="C233" s="89"/>
      <c r="D233" s="126"/>
    </row>
    <row r="234" spans="1:4" x14ac:dyDescent="0.25">
      <c r="A234" s="89"/>
      <c r="B234" s="172"/>
      <c r="C234" s="89"/>
      <c r="D234" s="126"/>
    </row>
    <row r="235" spans="1:4" x14ac:dyDescent="0.25">
      <c r="A235" s="89"/>
      <c r="B235" s="172"/>
      <c r="C235" s="89"/>
      <c r="D235" s="126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94" fitToHeight="100" orientation="portrait" r:id="rId1"/>
  <headerFooter>
    <oddHeader>&amp;RVýkaz výměr SO 03</oddHeader>
    <oddFooter>&amp;L&amp;F&amp;C&amp;P z &amp;N&amp;R&amp;A</oddFooter>
  </headerFooter>
  <colBreaks count="1" manualBreakCount="1">
    <brk id="4" max="1048575" man="1"/>
  </colBreaks>
  <ignoredErrors>
    <ignoredError sqref="A22:A25 A39 A43" twoDigitTextYear="1"/>
    <ignoredError sqref="A139 A167 A21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0A9C2-0BF9-41C1-A8DB-DD3632267FEF}">
  <sheetPr>
    <pageSetUpPr fitToPage="1"/>
  </sheetPr>
  <dimension ref="A1:F38"/>
  <sheetViews>
    <sheetView workbookViewId="0">
      <selection sqref="A1:XFD12"/>
    </sheetView>
  </sheetViews>
  <sheetFormatPr defaultRowHeight="15" x14ac:dyDescent="0.25"/>
  <sheetData>
    <row r="1" spans="1:6" s="1" customFormat="1" ht="15.75" x14ac:dyDescent="0.25">
      <c r="A1" s="2" t="s">
        <v>42</v>
      </c>
      <c r="B1" s="77"/>
      <c r="D1" s="93"/>
    </row>
    <row r="2" spans="1:6" s="1" customFormat="1" ht="15.75" x14ac:dyDescent="0.25">
      <c r="A2" s="2" t="s">
        <v>43</v>
      </c>
      <c r="B2" s="77"/>
      <c r="D2" s="93"/>
    </row>
    <row r="3" spans="1:6" s="1" customFormat="1" x14ac:dyDescent="0.25">
      <c r="B3" s="78"/>
      <c r="D3" s="93"/>
    </row>
    <row r="4" spans="1:6" s="1" customFormat="1" x14ac:dyDescent="0.25">
      <c r="A4" s="9" t="s">
        <v>1</v>
      </c>
      <c r="B4" s="78"/>
      <c r="D4" s="93"/>
    </row>
    <row r="5" spans="1:6" s="1" customFormat="1" x14ac:dyDescent="0.25">
      <c r="A5" s="9" t="s">
        <v>2</v>
      </c>
      <c r="B5" s="78"/>
      <c r="D5" s="93"/>
    </row>
    <row r="6" spans="1:6" s="1" customFormat="1" x14ac:dyDescent="0.25">
      <c r="A6" s="10" t="s">
        <v>45</v>
      </c>
      <c r="B6" s="78"/>
      <c r="D6" s="93"/>
    </row>
    <row r="7" spans="1:6" s="1" customFormat="1" x14ac:dyDescent="0.25">
      <c r="B7" s="78"/>
      <c r="D7" s="93"/>
    </row>
    <row r="8" spans="1:6" s="1" customFormat="1" ht="15.75" x14ac:dyDescent="0.25">
      <c r="A8" s="8" t="s">
        <v>44</v>
      </c>
      <c r="B8" s="78"/>
      <c r="D8" s="93"/>
    </row>
    <row r="9" spans="1:6" s="1" customFormat="1" x14ac:dyDescent="0.25">
      <c r="B9" s="78"/>
      <c r="D9" s="93"/>
    </row>
    <row r="10" spans="1:6" s="1" customFormat="1" ht="18" x14ac:dyDescent="0.25">
      <c r="A10" s="7" t="s">
        <v>85</v>
      </c>
      <c r="B10" s="78"/>
      <c r="D10" s="93"/>
    </row>
    <row r="11" spans="1:6" s="1" customFormat="1" ht="15.75" customHeight="1" x14ac:dyDescent="0.25">
      <c r="A11" s="7"/>
      <c r="B11" s="78"/>
      <c r="D11" s="93"/>
    </row>
    <row r="12" spans="1:6" x14ac:dyDescent="0.25">
      <c r="A12" s="33" t="s">
        <v>86</v>
      </c>
      <c r="B12" s="33"/>
      <c r="C12" s="1"/>
      <c r="D12" s="1"/>
      <c r="E12" s="1"/>
    </row>
    <row r="13" spans="1:6" x14ac:dyDescent="0.25">
      <c r="A13" s="19"/>
      <c r="B13" s="1"/>
      <c r="C13" s="1"/>
      <c r="D13" s="1"/>
      <c r="E13" s="1"/>
    </row>
    <row r="14" spans="1:6" x14ac:dyDescent="0.25">
      <c r="A14" s="68" t="s">
        <v>67</v>
      </c>
      <c r="B14" s="69" t="s">
        <v>87</v>
      </c>
      <c r="C14" s="70" t="s">
        <v>68</v>
      </c>
      <c r="D14" s="71" t="s">
        <v>69</v>
      </c>
      <c r="E14" s="71" t="s">
        <v>70</v>
      </c>
    </row>
    <row r="15" spans="1:6" ht="15.75" thickBot="1" x14ac:dyDescent="0.3">
      <c r="A15" s="66"/>
      <c r="B15" s="63" t="s">
        <v>7</v>
      </c>
      <c r="C15" s="67"/>
      <c r="D15" s="72" t="s">
        <v>71</v>
      </c>
      <c r="E15" s="72" t="s">
        <v>72</v>
      </c>
      <c r="F15" s="73"/>
    </row>
    <row r="16" spans="1:6" ht="15.75" thickTop="1" x14ac:dyDescent="0.25">
      <c r="A16" s="21" t="s">
        <v>73</v>
      </c>
      <c r="B16" s="30">
        <v>0</v>
      </c>
      <c r="C16" s="1"/>
      <c r="D16" s="30">
        <v>2</v>
      </c>
      <c r="E16" s="30"/>
    </row>
    <row r="17" spans="1:5" x14ac:dyDescent="0.25">
      <c r="A17" s="1"/>
      <c r="B17" s="30"/>
      <c r="C17" s="35">
        <f>B18-B16</f>
        <v>9.5</v>
      </c>
      <c r="D17" s="30"/>
      <c r="E17" s="30">
        <f>(D16+D18)/2*C17</f>
        <v>26.125</v>
      </c>
    </row>
    <row r="18" spans="1:5" x14ac:dyDescent="0.25">
      <c r="A18" s="26">
        <v>1</v>
      </c>
      <c r="B18" s="30">
        <v>9.5</v>
      </c>
      <c r="C18" s="1"/>
      <c r="D18" s="30">
        <v>3.5</v>
      </c>
      <c r="E18" s="30"/>
    </row>
    <row r="19" spans="1:5" x14ac:dyDescent="0.25">
      <c r="A19" s="36"/>
      <c r="B19" s="37"/>
      <c r="C19" s="35">
        <f>B20-B18</f>
        <v>10</v>
      </c>
      <c r="D19" s="38"/>
      <c r="E19" s="30">
        <f>(D18+D20)/2*C19</f>
        <v>58.5</v>
      </c>
    </row>
    <row r="20" spans="1:5" x14ac:dyDescent="0.25">
      <c r="A20" s="26">
        <v>2</v>
      </c>
      <c r="B20" s="37">
        <v>19.5</v>
      </c>
      <c r="C20" s="1"/>
      <c r="D20" s="38">
        <v>8.1999999999999993</v>
      </c>
      <c r="E20" s="38"/>
    </row>
    <row r="21" spans="1:5" x14ac:dyDescent="0.25">
      <c r="A21" s="36"/>
      <c r="B21" s="37"/>
      <c r="C21" s="35">
        <f>B22-B20</f>
        <v>5</v>
      </c>
      <c r="D21" s="38"/>
      <c r="E21" s="30">
        <f>(D20+D22)/2*C21</f>
        <v>41.75</v>
      </c>
    </row>
    <row r="22" spans="1:5" x14ac:dyDescent="0.25">
      <c r="A22" s="26">
        <v>2</v>
      </c>
      <c r="B22" s="37">
        <v>24.5</v>
      </c>
      <c r="C22" s="1"/>
      <c r="D22" s="39">
        <v>8.5</v>
      </c>
      <c r="E22" s="38"/>
    </row>
    <row r="23" spans="1:5" x14ac:dyDescent="0.25">
      <c r="A23" s="36"/>
      <c r="B23" s="37"/>
      <c r="C23" s="35">
        <f>B24-B22</f>
        <v>4.1000000000000014</v>
      </c>
      <c r="D23" s="38"/>
      <c r="E23" s="30">
        <f>(D22+D24)/2*C23</f>
        <v>35.260000000000012</v>
      </c>
    </row>
    <row r="24" spans="1:5" x14ac:dyDescent="0.25">
      <c r="A24" s="26">
        <v>4</v>
      </c>
      <c r="B24" s="37">
        <v>28.6</v>
      </c>
      <c r="C24" s="1"/>
      <c r="D24" s="38">
        <v>8.6999999999999993</v>
      </c>
      <c r="E24" s="38"/>
    </row>
    <row r="25" spans="1:5" x14ac:dyDescent="0.25">
      <c r="A25" s="36"/>
      <c r="B25" s="37"/>
      <c r="C25" s="35">
        <f>B26-B24</f>
        <v>1.75</v>
      </c>
      <c r="D25" s="38"/>
      <c r="E25" s="30">
        <f>(D24+D26)/2*C25</f>
        <v>15.662499999999998</v>
      </c>
    </row>
    <row r="26" spans="1:5" x14ac:dyDescent="0.25">
      <c r="A26" s="26">
        <v>5</v>
      </c>
      <c r="B26" s="37">
        <v>30.35</v>
      </c>
      <c r="C26" s="1"/>
      <c r="D26" s="38">
        <v>9.1999999999999993</v>
      </c>
      <c r="E26" s="38"/>
    </row>
    <row r="27" spans="1:5" x14ac:dyDescent="0.25">
      <c r="A27" s="36"/>
      <c r="B27" s="37"/>
      <c r="C27" s="35">
        <f>B28-B26</f>
        <v>1.8500000000000014</v>
      </c>
      <c r="D27" s="38"/>
      <c r="E27" s="30">
        <f>(D26+D28)/2*C27</f>
        <v>21.645000000000014</v>
      </c>
    </row>
    <row r="28" spans="1:5" x14ac:dyDescent="0.25">
      <c r="A28" s="26">
        <v>6</v>
      </c>
      <c r="B28" s="37">
        <v>32.200000000000003</v>
      </c>
      <c r="C28" s="1"/>
      <c r="D28" s="38">
        <v>14.2</v>
      </c>
      <c r="E28" s="38"/>
    </row>
    <row r="29" spans="1:5" x14ac:dyDescent="0.25">
      <c r="A29" s="1"/>
      <c r="B29" s="37"/>
      <c r="C29" s="35">
        <f>B30-B28</f>
        <v>6.5999999999999943</v>
      </c>
      <c r="D29" s="38"/>
      <c r="E29" s="30">
        <f>(D28+D30)/2*C29</f>
        <v>61.709999999999944</v>
      </c>
    </row>
    <row r="30" spans="1:5" x14ac:dyDescent="0.25">
      <c r="A30" s="26">
        <v>7</v>
      </c>
      <c r="B30" s="37">
        <v>38.799999999999997</v>
      </c>
      <c r="C30" s="1"/>
      <c r="D30" s="38">
        <v>4.5</v>
      </c>
      <c r="E30" s="38"/>
    </row>
    <row r="31" spans="1:5" x14ac:dyDescent="0.25">
      <c r="A31" s="36"/>
      <c r="B31" s="38"/>
      <c r="C31" s="35">
        <f>B32-B30</f>
        <v>1.2000000000000028</v>
      </c>
      <c r="D31" s="38"/>
      <c r="E31" s="30">
        <f>(D30+D32)/2*C31</f>
        <v>3.3000000000000078</v>
      </c>
    </row>
    <row r="32" spans="1:5" x14ac:dyDescent="0.25">
      <c r="A32" s="40">
        <v>8</v>
      </c>
      <c r="B32" s="41">
        <v>40</v>
      </c>
      <c r="C32" s="42"/>
      <c r="D32" s="43">
        <v>1</v>
      </c>
      <c r="E32" s="43"/>
    </row>
    <row r="33" spans="1:5" x14ac:dyDescent="0.25">
      <c r="A33" s="20" t="s">
        <v>88</v>
      </c>
      <c r="B33" s="35"/>
      <c r="C33" s="35"/>
      <c r="D33" s="35"/>
      <c r="E33" s="64">
        <f>SUM(E17:E32)</f>
        <v>263.95249999999999</v>
      </c>
    </row>
    <row r="34" spans="1:5" x14ac:dyDescent="0.25">
      <c r="A34" s="20"/>
      <c r="B34" s="35"/>
      <c r="C34" s="35"/>
      <c r="D34" s="35"/>
      <c r="E34" s="37"/>
    </row>
    <row r="35" spans="1:5" x14ac:dyDescent="0.25">
      <c r="A35" s="47" t="s">
        <v>89</v>
      </c>
      <c r="E35" s="65">
        <f>E33</f>
        <v>263.95249999999999</v>
      </c>
    </row>
    <row r="37" spans="1:5" x14ac:dyDescent="0.25">
      <c r="A37" s="47" t="s">
        <v>94</v>
      </c>
    </row>
    <row r="38" spans="1:5" x14ac:dyDescent="0.25">
      <c r="A38" t="s">
        <v>95</v>
      </c>
      <c r="E38" s="49">
        <v>232</v>
      </c>
    </row>
  </sheetData>
  <pageMargins left="0.70866141732283472" right="0.70866141732283472" top="0.78740157480314965" bottom="0.78740157480314965" header="0.31496062992125984" footer="0.31496062992125984"/>
  <pageSetup paperSize="9" fitToHeight="100" orientation="portrait" horizontalDpi="300" r:id="rId1"/>
  <headerFooter>
    <oddHeader>&amp;RSO 03 Výkaz výměr</oddHeader>
    <oddFooter>&amp;C&amp;P z &amp;N&amp;R&amp;A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422CE-B0A3-4B52-B0E3-CC78EE3D1020}">
  <sheetPr>
    <pageSetUpPr fitToPage="1"/>
  </sheetPr>
  <dimension ref="A1:L40"/>
  <sheetViews>
    <sheetView workbookViewId="0">
      <selection activeCell="Q28" sqref="Q28"/>
    </sheetView>
  </sheetViews>
  <sheetFormatPr defaultRowHeight="15" x14ac:dyDescent="0.25"/>
  <cols>
    <col min="1" max="1" width="12.28515625" customWidth="1"/>
    <col min="2" max="2" width="12" customWidth="1"/>
    <col min="6" max="6" width="10.5703125" customWidth="1"/>
    <col min="7" max="7" width="13" customWidth="1"/>
    <col min="8" max="8" width="8.7109375" customWidth="1"/>
  </cols>
  <sheetData>
    <row r="1" spans="1:12" s="1" customFormat="1" ht="15.75" x14ac:dyDescent="0.25">
      <c r="A1" s="2" t="s">
        <v>42</v>
      </c>
      <c r="B1" s="77"/>
      <c r="D1" s="93"/>
    </row>
    <row r="2" spans="1:12" s="1" customFormat="1" ht="15.75" x14ac:dyDescent="0.25">
      <c r="A2" s="2" t="s">
        <v>43</v>
      </c>
      <c r="B2" s="77"/>
      <c r="D2" s="93"/>
    </row>
    <row r="3" spans="1:12" s="1" customFormat="1" x14ac:dyDescent="0.25">
      <c r="B3" s="78"/>
      <c r="D3" s="93"/>
    </row>
    <row r="4" spans="1:12" s="1" customFormat="1" x14ac:dyDescent="0.25">
      <c r="A4" s="9" t="s">
        <v>1</v>
      </c>
      <c r="B4" s="78"/>
      <c r="D4" s="93"/>
    </row>
    <row r="5" spans="1:12" s="1" customFormat="1" x14ac:dyDescent="0.25">
      <c r="A5" s="9" t="s">
        <v>2</v>
      </c>
      <c r="B5" s="78"/>
      <c r="D5" s="93"/>
    </row>
    <row r="6" spans="1:12" s="1" customFormat="1" x14ac:dyDescent="0.25">
      <c r="A6" s="10" t="s">
        <v>45</v>
      </c>
      <c r="B6" s="78"/>
      <c r="D6" s="93"/>
    </row>
    <row r="7" spans="1:12" s="1" customFormat="1" x14ac:dyDescent="0.25">
      <c r="B7" s="78"/>
      <c r="D7" s="93"/>
    </row>
    <row r="8" spans="1:12" s="1" customFormat="1" ht="15.75" x14ac:dyDescent="0.25">
      <c r="A8" s="8" t="s">
        <v>44</v>
      </c>
      <c r="B8" s="78"/>
      <c r="D8" s="93"/>
    </row>
    <row r="9" spans="1:12" s="1" customFormat="1" x14ac:dyDescent="0.25">
      <c r="B9" s="78"/>
      <c r="D9" s="93"/>
    </row>
    <row r="10" spans="1:12" s="1" customFormat="1" ht="18" x14ac:dyDescent="0.25">
      <c r="A10" s="7" t="s">
        <v>259</v>
      </c>
      <c r="B10" s="78"/>
      <c r="D10" s="93"/>
    </row>
    <row r="11" spans="1:12" s="1" customFormat="1" ht="13.5" customHeight="1" x14ac:dyDescent="0.25">
      <c r="A11" s="7"/>
      <c r="B11" s="78"/>
      <c r="D11" s="93"/>
    </row>
    <row r="12" spans="1:12" x14ac:dyDescent="0.25">
      <c r="A12" s="16" t="s">
        <v>65</v>
      </c>
      <c r="B12" s="17"/>
      <c r="C12" s="18"/>
      <c r="D12" s="18"/>
      <c r="E12" s="19"/>
      <c r="F12" s="20"/>
    </row>
    <row r="13" spans="1:12" x14ac:dyDescent="0.25">
      <c r="A13" s="16" t="s">
        <v>66</v>
      </c>
      <c r="B13" s="17"/>
      <c r="C13" s="18"/>
      <c r="D13" s="18"/>
    </row>
    <row r="14" spans="1:12" x14ac:dyDescent="0.25">
      <c r="A14" s="21" t="s">
        <v>67</v>
      </c>
      <c r="B14" s="22" t="s">
        <v>68</v>
      </c>
      <c r="C14" s="175" t="s">
        <v>86</v>
      </c>
      <c r="D14" s="175"/>
      <c r="E14" s="174" t="s">
        <v>89</v>
      </c>
      <c r="F14" s="174"/>
      <c r="G14" s="173" t="s">
        <v>100</v>
      </c>
      <c r="H14" s="173"/>
      <c r="I14" s="173" t="s">
        <v>90</v>
      </c>
      <c r="J14" s="173"/>
      <c r="K14" s="173" t="s">
        <v>91</v>
      </c>
      <c r="L14" s="173"/>
    </row>
    <row r="15" spans="1:12" ht="15.75" thickBot="1" x14ac:dyDescent="0.3">
      <c r="A15" s="60"/>
      <c r="B15" s="61" t="s">
        <v>7</v>
      </c>
      <c r="C15" s="62"/>
      <c r="D15" s="62" t="s">
        <v>72</v>
      </c>
      <c r="E15" s="63"/>
      <c r="F15" s="62" t="s">
        <v>72</v>
      </c>
      <c r="G15" s="59"/>
      <c r="H15" s="62" t="s">
        <v>19</v>
      </c>
      <c r="I15" s="59"/>
      <c r="J15" s="62" t="s">
        <v>72</v>
      </c>
      <c r="K15" s="59"/>
      <c r="L15" s="62" t="s">
        <v>72</v>
      </c>
    </row>
    <row r="16" spans="1:12" ht="15.75" thickTop="1" x14ac:dyDescent="0.25">
      <c r="A16" s="16" t="s">
        <v>73</v>
      </c>
      <c r="B16" s="53"/>
      <c r="C16" s="45">
        <v>0</v>
      </c>
      <c r="D16" s="46"/>
      <c r="E16" s="24">
        <v>0</v>
      </c>
      <c r="F16" s="24"/>
      <c r="G16" s="48">
        <v>0</v>
      </c>
      <c r="H16" s="48"/>
      <c r="I16" s="48"/>
      <c r="J16" s="48"/>
      <c r="K16" s="48"/>
      <c r="L16" s="48"/>
    </row>
    <row r="17" spans="1:12" x14ac:dyDescent="0.25">
      <c r="A17" s="27"/>
      <c r="B17" s="54">
        <v>2.2999999999999998</v>
      </c>
      <c r="C17" s="45"/>
      <c r="D17" s="46">
        <f>(C16+C18)/2*B17</f>
        <v>1.2189999999999999</v>
      </c>
      <c r="E17" s="48"/>
      <c r="F17" s="24">
        <f>(E16+E18)/2*B17</f>
        <v>1.0349999999999999</v>
      </c>
      <c r="G17" s="48"/>
      <c r="H17" s="24">
        <f>(G16+G18)/2*B17</f>
        <v>5.52</v>
      </c>
      <c r="I17" s="48"/>
      <c r="J17" s="48"/>
      <c r="K17" s="48"/>
      <c r="L17" s="48"/>
    </row>
    <row r="18" spans="1:12" x14ac:dyDescent="0.25">
      <c r="A18" s="28" t="s">
        <v>74</v>
      </c>
      <c r="B18" s="53"/>
      <c r="C18" s="45">
        <v>1.06</v>
      </c>
      <c r="D18" s="46"/>
      <c r="E18" s="34">
        <v>0.9</v>
      </c>
      <c r="F18" s="24"/>
      <c r="G18" s="48">
        <v>4.8</v>
      </c>
      <c r="H18" s="48"/>
      <c r="I18" s="48"/>
      <c r="J18" s="48"/>
      <c r="K18" s="48"/>
      <c r="L18" s="48"/>
    </row>
    <row r="19" spans="1:12" x14ac:dyDescent="0.25">
      <c r="A19" s="17"/>
      <c r="B19" s="54">
        <v>6.73</v>
      </c>
      <c r="C19" s="45"/>
      <c r="D19" s="46">
        <f>(C18+C20)/2*B19</f>
        <v>12.9216</v>
      </c>
      <c r="E19" s="48"/>
      <c r="F19" s="24">
        <f>(E18+E20)/2*B19</f>
        <v>5.1484500000000004</v>
      </c>
      <c r="G19" s="48"/>
      <c r="H19" s="24">
        <f>(G18+G20)/2*B19</f>
        <v>33.986499999999999</v>
      </c>
      <c r="I19" s="48"/>
      <c r="J19" s="48"/>
      <c r="K19" s="48"/>
      <c r="L19" s="48"/>
    </row>
    <row r="20" spans="1:12" x14ac:dyDescent="0.25">
      <c r="A20" s="28" t="s">
        <v>75</v>
      </c>
      <c r="B20" s="53"/>
      <c r="C20" s="45">
        <v>2.78</v>
      </c>
      <c r="D20" s="44"/>
      <c r="E20" s="34">
        <v>0.63</v>
      </c>
      <c r="F20" s="34"/>
      <c r="G20" s="48">
        <v>5.3</v>
      </c>
      <c r="H20" s="48"/>
      <c r="I20" s="48"/>
      <c r="J20" s="48"/>
      <c r="K20" s="48"/>
      <c r="L20" s="48"/>
    </row>
    <row r="21" spans="1:12" x14ac:dyDescent="0.25">
      <c r="A21" s="17"/>
      <c r="B21" s="54">
        <v>5.76</v>
      </c>
      <c r="C21" s="45"/>
      <c r="D21" s="46">
        <f>(C20+C22)/2*B21</f>
        <v>29.433600000000002</v>
      </c>
      <c r="E21" s="34"/>
      <c r="F21" s="24">
        <f>(E20+E22)/2*B21</f>
        <v>3.1104000000000003</v>
      </c>
      <c r="G21" s="48"/>
      <c r="H21" s="24">
        <f>(G20+G22)/2*B21</f>
        <v>21.599999999999998</v>
      </c>
      <c r="I21" s="48"/>
      <c r="J21" s="48"/>
      <c r="K21" s="48"/>
      <c r="L21" s="48"/>
    </row>
    <row r="22" spans="1:12" x14ac:dyDescent="0.25">
      <c r="A22" s="28" t="s">
        <v>76</v>
      </c>
      <c r="B22" s="53"/>
      <c r="C22" s="45">
        <v>7.44</v>
      </c>
      <c r="D22" s="44"/>
      <c r="E22" s="34">
        <f>0.3+0.15</f>
        <v>0.44999999999999996</v>
      </c>
      <c r="F22" s="34"/>
      <c r="G22" s="48">
        <v>2.2000000000000002</v>
      </c>
      <c r="H22" s="48"/>
      <c r="I22" s="48"/>
      <c r="J22" s="48"/>
      <c r="K22" s="48"/>
      <c r="L22" s="48"/>
    </row>
    <row r="23" spans="1:12" x14ac:dyDescent="0.25">
      <c r="A23" s="17"/>
      <c r="B23" s="54">
        <v>4.7699999999999996</v>
      </c>
      <c r="C23" s="45"/>
      <c r="D23" s="46">
        <f>(C22+C24)/2*B23</f>
        <v>39.042450000000002</v>
      </c>
      <c r="E23" s="34"/>
      <c r="F23" s="24">
        <f>(E22+E24)/2*B23</f>
        <v>2.6950499999999997</v>
      </c>
      <c r="G23" s="48"/>
      <c r="H23" s="24">
        <f>(G22+G24)/2*B23</f>
        <v>11.924999999999999</v>
      </c>
      <c r="I23" s="48"/>
      <c r="J23" s="48"/>
      <c r="K23" s="48"/>
      <c r="L23" s="48"/>
    </row>
    <row r="24" spans="1:12" x14ac:dyDescent="0.25">
      <c r="A24" s="28" t="s">
        <v>77</v>
      </c>
      <c r="B24" s="53"/>
      <c r="C24" s="45">
        <v>8.93</v>
      </c>
      <c r="D24" s="44"/>
      <c r="E24" s="34">
        <v>0.68</v>
      </c>
      <c r="F24" s="34"/>
      <c r="G24" s="48">
        <v>2.8</v>
      </c>
      <c r="H24" s="48"/>
      <c r="I24" s="48"/>
      <c r="J24" s="48"/>
      <c r="K24" s="48"/>
      <c r="L24" s="48"/>
    </row>
    <row r="25" spans="1:12" x14ac:dyDescent="0.25">
      <c r="A25" s="27"/>
      <c r="B25" s="54">
        <v>5.05</v>
      </c>
      <c r="C25" s="45"/>
      <c r="D25" s="46">
        <f>(C24+C26)/2*B25</f>
        <v>22.548249999999999</v>
      </c>
      <c r="E25" s="34"/>
      <c r="F25" s="24">
        <f>(E24+E26)/2*B25</f>
        <v>1.7170000000000001</v>
      </c>
      <c r="G25" s="48"/>
      <c r="H25" s="24">
        <f>(G24+G26)/2*B25</f>
        <v>7.0699999999999994</v>
      </c>
      <c r="I25" s="48"/>
      <c r="J25" s="48"/>
      <c r="K25" s="48"/>
      <c r="L25" s="48"/>
    </row>
    <row r="26" spans="1:12" ht="15.75" thickBot="1" x14ac:dyDescent="0.3">
      <c r="A26" s="55" t="s">
        <v>78</v>
      </c>
      <c r="B26" s="56"/>
      <c r="C26" s="57">
        <v>0</v>
      </c>
      <c r="D26" s="57"/>
      <c r="E26" s="58">
        <v>0</v>
      </c>
      <c r="F26" s="58"/>
      <c r="G26" s="59">
        <v>0</v>
      </c>
      <c r="H26" s="59"/>
      <c r="I26" s="59"/>
      <c r="J26" s="59"/>
      <c r="K26" s="59"/>
      <c r="L26" s="59"/>
    </row>
    <row r="27" spans="1:12" ht="15.75" thickTop="1" x14ac:dyDescent="0.25">
      <c r="A27" s="27" t="s">
        <v>79</v>
      </c>
      <c r="B27" s="25">
        <f>SUM(B16:B25)</f>
        <v>24.610000000000003</v>
      </c>
      <c r="C27" s="46"/>
      <c r="D27" s="46">
        <f>SUM(D17:D25)</f>
        <v>105.1649</v>
      </c>
      <c r="E27" s="34"/>
      <c r="F27" s="46">
        <f>SUM(F14:F26)</f>
        <v>13.705900000000002</v>
      </c>
      <c r="G27" s="48"/>
      <c r="H27" s="48"/>
      <c r="I27" s="48"/>
      <c r="J27" s="48"/>
      <c r="K27" s="48"/>
      <c r="L27" s="48"/>
    </row>
    <row r="28" spans="1:12" x14ac:dyDescent="0.25">
      <c r="A28" s="20"/>
      <c r="B28" s="20"/>
      <c r="C28" s="20"/>
      <c r="D28" s="20"/>
      <c r="E28" s="34"/>
      <c r="F28" s="24"/>
      <c r="G28" s="48"/>
      <c r="H28" s="48"/>
      <c r="I28" s="48"/>
      <c r="J28" s="48"/>
      <c r="K28" s="48"/>
      <c r="L28" s="48"/>
    </row>
    <row r="29" spans="1:12" x14ac:dyDescent="0.25">
      <c r="A29" s="20" t="s">
        <v>80</v>
      </c>
      <c r="B29" s="20"/>
      <c r="C29" s="20"/>
      <c r="D29" s="20"/>
      <c r="E29" s="34"/>
      <c r="F29" s="24"/>
      <c r="H29" s="48"/>
      <c r="I29" s="48"/>
      <c r="J29" s="48"/>
      <c r="K29" s="48"/>
      <c r="L29" s="48"/>
    </row>
    <row r="30" spans="1:12" x14ac:dyDescent="0.25">
      <c r="A30" s="20" t="s">
        <v>81</v>
      </c>
      <c r="B30" s="20"/>
      <c r="C30" s="20">
        <v>1.45</v>
      </c>
      <c r="D30" s="20" t="s">
        <v>7</v>
      </c>
      <c r="E30" s="19"/>
      <c r="F30" s="20"/>
      <c r="H30" t="s">
        <v>92</v>
      </c>
      <c r="J30">
        <v>37</v>
      </c>
      <c r="L30">
        <v>37</v>
      </c>
    </row>
    <row r="31" spans="1:12" x14ac:dyDescent="0.25">
      <c r="A31" s="20" t="s">
        <v>82</v>
      </c>
      <c r="B31" s="20"/>
      <c r="C31" s="20">
        <v>4.5999999999999996</v>
      </c>
      <c r="D31" s="20" t="s">
        <v>7</v>
      </c>
      <c r="E31" s="19"/>
      <c r="F31" s="20"/>
      <c r="H31" t="s">
        <v>93</v>
      </c>
      <c r="J31">
        <v>0.4</v>
      </c>
      <c r="L31">
        <v>0.15</v>
      </c>
    </row>
    <row r="32" spans="1:12" x14ac:dyDescent="0.25">
      <c r="A32" s="20" t="s">
        <v>70</v>
      </c>
      <c r="B32" s="20"/>
      <c r="C32" s="20"/>
      <c r="D32" s="30">
        <f>C31*C30</f>
        <v>6.669999999999999</v>
      </c>
      <c r="E32" s="19"/>
      <c r="F32" s="20"/>
      <c r="H32" t="s">
        <v>70</v>
      </c>
      <c r="J32" s="47">
        <f>J30*J31</f>
        <v>14.8</v>
      </c>
      <c r="L32" s="49">
        <f>L30*L31</f>
        <v>5.55</v>
      </c>
    </row>
    <row r="33" spans="1:12" x14ac:dyDescent="0.25">
      <c r="A33" s="19"/>
      <c r="B33" s="20"/>
      <c r="C33" s="20"/>
      <c r="D33" s="20"/>
      <c r="E33" s="19"/>
      <c r="F33" s="20"/>
    </row>
    <row r="34" spans="1:12" x14ac:dyDescent="0.25">
      <c r="A34" s="20" t="s">
        <v>83</v>
      </c>
      <c r="B34" s="20"/>
      <c r="C34" s="20"/>
      <c r="D34" s="20"/>
      <c r="E34" s="19"/>
      <c r="F34" s="20"/>
    </row>
    <row r="35" spans="1:12" x14ac:dyDescent="0.25">
      <c r="A35" s="20"/>
      <c r="B35" s="20"/>
      <c r="C35" s="20"/>
      <c r="D35" s="24"/>
      <c r="E35" s="19"/>
      <c r="F35" s="20"/>
    </row>
    <row r="36" spans="1:12" x14ac:dyDescent="0.25">
      <c r="A36" s="20" t="s">
        <v>81</v>
      </c>
      <c r="B36" s="20"/>
      <c r="C36" s="20">
        <v>0.9</v>
      </c>
      <c r="D36" s="23" t="s">
        <v>71</v>
      </c>
      <c r="E36" s="19"/>
      <c r="F36" s="20"/>
    </row>
    <row r="37" spans="1:12" x14ac:dyDescent="0.25">
      <c r="A37" s="20" t="s">
        <v>84</v>
      </c>
      <c r="B37" s="20"/>
      <c r="C37" s="20">
        <v>3.8</v>
      </c>
      <c r="D37" s="24" t="s">
        <v>7</v>
      </c>
      <c r="E37" s="19"/>
      <c r="F37" s="20"/>
    </row>
    <row r="38" spans="1:12" x14ac:dyDescent="0.25">
      <c r="A38" s="20" t="s">
        <v>70</v>
      </c>
      <c r="B38" s="20"/>
      <c r="C38" s="20"/>
      <c r="D38" s="30">
        <f>C36*C37</f>
        <v>3.42</v>
      </c>
      <c r="E38" s="19"/>
      <c r="F38" s="20"/>
    </row>
    <row r="39" spans="1:12" x14ac:dyDescent="0.25">
      <c r="A39" s="31"/>
      <c r="B39" s="31"/>
      <c r="C39" s="31"/>
      <c r="D39" s="31"/>
      <c r="E39" s="50"/>
      <c r="F39" s="51"/>
      <c r="G39" s="52"/>
      <c r="H39" s="52"/>
      <c r="I39" s="52"/>
      <c r="J39" s="52"/>
      <c r="K39" s="52"/>
      <c r="L39" s="52"/>
    </row>
    <row r="40" spans="1:12" x14ac:dyDescent="0.25">
      <c r="A40" s="29"/>
      <c r="B40" s="29"/>
      <c r="C40" s="29"/>
      <c r="D40" s="32">
        <f>D38+D32+D27</f>
        <v>115.25490000000001</v>
      </c>
      <c r="E40" s="20"/>
      <c r="F40" s="46">
        <f>F27</f>
        <v>13.705900000000002</v>
      </c>
      <c r="H40" s="49">
        <f>SUM(H16:H26)</f>
        <v>80.101499999999987</v>
      </c>
      <c r="J40" s="49">
        <f>J32</f>
        <v>14.8</v>
      </c>
      <c r="L40" s="49">
        <f>L32</f>
        <v>5.55</v>
      </c>
    </row>
  </sheetData>
  <mergeCells count="5">
    <mergeCell ref="I14:J14"/>
    <mergeCell ref="K14:L14"/>
    <mergeCell ref="G14:H14"/>
    <mergeCell ref="E14:F14"/>
    <mergeCell ref="C14:D14"/>
  </mergeCells>
  <pageMargins left="0.70866141732283472" right="0.70866141732283472" top="0.78740157480314965" bottom="0.78740157480314965" header="0.31496062992125984" footer="0.31496062992125984"/>
  <pageSetup paperSize="9" scale="74" fitToHeight="100" orientation="portrait" horizontalDpi="300" r:id="rId1"/>
  <headerFooter>
    <oddHeader>&amp;RSO 03 Výkaz výměr</oddHeader>
    <oddFooter>&amp;C&amp;P z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SO_03_Rekapitulace</vt:lpstr>
      <vt:lpstr>dočasný sjezd</vt:lpstr>
      <vt:lpstr>sjezd_11</vt:lpstr>
      <vt:lpstr>SO_03_Rekapitulace!Názvy_tisku</vt:lpstr>
      <vt:lpstr>SO_03_Rekapitulace!Oblast_tisku</vt:lpstr>
    </vt:vector>
  </TitlesOfParts>
  <Company>Pöyry Environment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Dolezalova, Eva_x000d_</dc:creator>
  <cp:lastModifiedBy>Dolezalova, Eva_x000d_</cp:lastModifiedBy>
  <cp:lastPrinted>2022-04-13T08:04:10Z</cp:lastPrinted>
  <dcterms:created xsi:type="dcterms:W3CDTF">2016-09-06T06:14:26Z</dcterms:created>
  <dcterms:modified xsi:type="dcterms:W3CDTF">2022-04-13T08:17:21Z</dcterms:modified>
</cp:coreProperties>
</file>